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z\Documents\"/>
    </mc:Choice>
  </mc:AlternateContent>
  <xr:revisionPtr revIDLastSave="0" documentId="8_{B92C167B-D98B-491A-99B0-20DF03EE2168}" xr6:coauthVersionLast="40" xr6:coauthVersionMax="40" xr10:uidLastSave="{00000000-0000-0000-0000-000000000000}"/>
  <bookViews>
    <workbookView showHorizontalScroll="0" showVerticalScroll="0" showSheetTabs="0" xWindow="0" yWindow="0" windowWidth="17256" windowHeight="5148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5" i="1" s="1"/>
  <c r="G34" i="1"/>
  <c r="G35" i="1" s="1"/>
  <c r="I31" i="1"/>
  <c r="G31" i="1"/>
  <c r="G30" i="1"/>
  <c r="I30" i="1" s="1"/>
  <c r="I29" i="1"/>
  <c r="G29" i="1"/>
  <c r="H28" i="1"/>
  <c r="G28" i="1"/>
  <c r="I28" i="1" s="1"/>
  <c r="H27" i="1"/>
  <c r="G27" i="1"/>
  <c r="I27" i="1" s="1"/>
  <c r="I26" i="1"/>
  <c r="H26" i="1"/>
  <c r="G26" i="1"/>
  <c r="I25" i="1"/>
  <c r="H25" i="1"/>
  <c r="G25" i="1"/>
  <c r="H24" i="1"/>
  <c r="G24" i="1"/>
  <c r="I24" i="1" s="1"/>
  <c r="H23" i="1"/>
  <c r="G23" i="1"/>
  <c r="I23" i="1" s="1"/>
  <c r="I22" i="1"/>
  <c r="G22" i="1"/>
  <c r="H21" i="1"/>
  <c r="G21" i="1"/>
  <c r="I21" i="1" s="1"/>
  <c r="H20" i="1"/>
  <c r="G20" i="1"/>
  <c r="I20" i="1" s="1"/>
  <c r="I19" i="1"/>
  <c r="H19" i="1"/>
  <c r="H32" i="1" s="1"/>
  <c r="G19" i="1"/>
  <c r="G16" i="1"/>
  <c r="I16" i="1" s="1"/>
  <c r="I15" i="1"/>
  <c r="H15" i="1"/>
  <c r="G15" i="1"/>
  <c r="I14" i="1"/>
  <c r="H14" i="1"/>
  <c r="G14" i="1"/>
  <c r="H13" i="1"/>
  <c r="G13" i="1"/>
  <c r="I13" i="1" s="1"/>
  <c r="H12" i="1"/>
  <c r="G12" i="1"/>
  <c r="I12" i="1" s="1"/>
  <c r="I11" i="1"/>
  <c r="G11" i="1"/>
  <c r="G10" i="1"/>
  <c r="I10" i="1" s="1"/>
  <c r="I9" i="1"/>
  <c r="H9" i="1"/>
  <c r="G9" i="1"/>
  <c r="I8" i="1"/>
  <c r="H8" i="1"/>
  <c r="H17" i="1" s="1"/>
  <c r="H36" i="1" s="1"/>
  <c r="G8" i="1"/>
  <c r="G17" i="1" s="1"/>
  <c r="C31" i="1"/>
  <c r="C32" i="1" s="1"/>
  <c r="D32" i="1" s="1"/>
  <c r="B28" i="1"/>
  <c r="D28" i="1" s="1"/>
  <c r="B27" i="1"/>
  <c r="D27" i="1" s="1"/>
  <c r="C26" i="1"/>
  <c r="D26" i="1" s="1"/>
  <c r="B26" i="1"/>
  <c r="C25" i="1"/>
  <c r="B25" i="1"/>
  <c r="D25" i="1" s="1"/>
  <c r="C24" i="1"/>
  <c r="B24" i="1"/>
  <c r="D24" i="1" s="1"/>
  <c r="D23" i="1"/>
  <c r="C23" i="1"/>
  <c r="B23" i="1"/>
  <c r="C22" i="1"/>
  <c r="D22" i="1" s="1"/>
  <c r="B22" i="1"/>
  <c r="C21" i="1"/>
  <c r="B21" i="1"/>
  <c r="D21" i="1" s="1"/>
  <c r="D20" i="1"/>
  <c r="C20" i="1"/>
  <c r="B20" i="1"/>
  <c r="D19" i="1"/>
  <c r="C19" i="1"/>
  <c r="B19" i="1"/>
  <c r="C18" i="1"/>
  <c r="C29" i="1" s="1"/>
  <c r="B18" i="1"/>
  <c r="B29" i="1" s="1"/>
  <c r="D29" i="1" s="1"/>
  <c r="D15" i="1"/>
  <c r="C15" i="1"/>
  <c r="B15" i="1"/>
  <c r="D14" i="1"/>
  <c r="C14" i="1"/>
  <c r="B14" i="1"/>
  <c r="C13" i="1"/>
  <c r="B13" i="1"/>
  <c r="D13" i="1" s="1"/>
  <c r="C12" i="1"/>
  <c r="D12" i="1" s="1"/>
  <c r="D11" i="1"/>
  <c r="B11" i="1"/>
  <c r="B10" i="1"/>
  <c r="D10" i="1" s="1"/>
  <c r="D9" i="1"/>
  <c r="C9" i="1"/>
  <c r="B9" i="1"/>
  <c r="C8" i="1"/>
  <c r="C16" i="1" s="1"/>
  <c r="C33" i="1" s="1"/>
  <c r="B8" i="1"/>
  <c r="B16" i="1" s="1"/>
  <c r="I17" i="1" l="1"/>
  <c r="G32" i="1"/>
  <c r="I32" i="1" s="1"/>
  <c r="I34" i="1"/>
  <c r="I35" i="1" s="1"/>
  <c r="D16" i="1"/>
  <c r="D33" i="1" s="1"/>
  <c r="B33" i="1"/>
  <c r="D8" i="1"/>
  <c r="D18" i="1"/>
  <c r="D31" i="1"/>
  <c r="G36" i="1" l="1"/>
  <c r="I36" i="1"/>
</calcChain>
</file>

<file path=xl/sharedStrings.xml><?xml version="1.0" encoding="utf-8"?>
<sst xmlns="http://schemas.openxmlformats.org/spreadsheetml/2006/main" count="68" uniqueCount="38">
  <si>
    <t>Actual</t>
  </si>
  <si>
    <t>Budget</t>
  </si>
  <si>
    <t>over Budget</t>
  </si>
  <si>
    <t>Revenue</t>
  </si>
  <si>
    <t xml:space="preserve">   1100 FCS Revenue</t>
  </si>
  <si>
    <t xml:space="preserve">   2000 EMAP Revenue</t>
  </si>
  <si>
    <t xml:space="preserve">   2001 Grants &amp; Donations</t>
  </si>
  <si>
    <t xml:space="preserve">   2002 Student Activities &amp; Fundraising</t>
  </si>
  <si>
    <t xml:space="preserve">   2003 Title 1 Funding</t>
  </si>
  <si>
    <t xml:space="preserve">   2004 NSLP Revenue</t>
  </si>
  <si>
    <t xml:space="preserve">   2005 Food Service Revenue (Student Pay)</t>
  </si>
  <si>
    <t xml:space="preserve">   2006 Other Revenue</t>
  </si>
  <si>
    <t>Total Revenue</t>
  </si>
  <si>
    <t>Expenditures</t>
  </si>
  <si>
    <t xml:space="preserve">   4000 Personnel</t>
  </si>
  <si>
    <t xml:space="preserve">   4011 Facilities &amp; Operations</t>
  </si>
  <si>
    <t xml:space="preserve">   4014 Educational</t>
  </si>
  <si>
    <t xml:space="preserve">   4016 School Nutrition</t>
  </si>
  <si>
    <t xml:space="preserve">   4017 Student Services</t>
  </si>
  <si>
    <t xml:space="preserve">   4018 Professional Development</t>
  </si>
  <si>
    <t xml:space="preserve">   4019 Consumable Supplies</t>
  </si>
  <si>
    <t xml:space="preserve">   4020 Asset Purchases</t>
  </si>
  <si>
    <t xml:space="preserve">   4021 Other Expenses</t>
  </si>
  <si>
    <t xml:space="preserve">   4029 Postage &amp; Shipping</t>
  </si>
  <si>
    <t xml:space="preserve">   Bank Charges</t>
  </si>
  <si>
    <t>Total Expenditures</t>
  </si>
  <si>
    <t>Other Expenditures</t>
  </si>
  <si>
    <t xml:space="preserve">   Transfer to Reserves</t>
  </si>
  <si>
    <t>Total Other Expenditures</t>
  </si>
  <si>
    <t>Chattahoochee Hills Charter School</t>
  </si>
  <si>
    <t>Surplus (Deficit)</t>
  </si>
  <si>
    <t xml:space="preserve"> </t>
  </si>
  <si>
    <t xml:space="preserve">   4037.3 Sports Expense</t>
  </si>
  <si>
    <t>Year-to-Date</t>
  </si>
  <si>
    <t xml:space="preserve">   2009 Interest Income</t>
  </si>
  <si>
    <t xml:space="preserve">   4015 EMAP</t>
  </si>
  <si>
    <t xml:space="preserve">Budget vs. Actuals: CHCS FY19 Amended Budget </t>
  </si>
  <si>
    <t>January 1, 2019-January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</si>
</sst>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* @_)"/>
    <numFmt numFmtId="165" formatCode="[$-409]mmmm\-yy;@"/>
  </numFmts>
  <fonts count="9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39" fontId="6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39" fontId="8" fillId="0" borderId="0" xfId="0" applyNumberFormat="1" applyFont="1" applyAlignment="1">
      <alignment horizontal="right" wrapText="1"/>
    </xf>
    <xf numFmtId="39" fontId="8" fillId="0" borderId="0" xfId="0" applyNumberFormat="1" applyFont="1" applyAlignment="1">
      <alignment wrapText="1"/>
    </xf>
    <xf numFmtId="164" fontId="7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18" workbookViewId="0">
      <selection activeCell="I44" sqref="I44"/>
    </sheetView>
  </sheetViews>
  <sheetFormatPr defaultRowHeight="14.4" x14ac:dyDescent="0.3"/>
  <cols>
    <col min="1" max="1" width="37" customWidth="1"/>
    <col min="2" max="2" width="14.21875" customWidth="1"/>
    <col min="3" max="3" width="12.88671875" customWidth="1"/>
    <col min="4" max="4" width="10.88671875" customWidth="1"/>
    <col min="6" max="6" width="33.109375" customWidth="1"/>
    <col min="7" max="7" width="11" customWidth="1"/>
    <col min="8" max="8" width="10.77734375" bestFit="1" customWidth="1"/>
    <col min="9" max="9" width="11.21875" bestFit="1" customWidth="1"/>
  </cols>
  <sheetData>
    <row r="1" spans="1:9" ht="17.399999999999999" x14ac:dyDescent="0.3">
      <c r="A1" s="8" t="s">
        <v>29</v>
      </c>
      <c r="B1" s="8"/>
      <c r="C1" s="8"/>
      <c r="D1" s="8"/>
      <c r="E1" s="8"/>
      <c r="F1" s="8"/>
      <c r="G1" s="8"/>
      <c r="H1" s="8"/>
      <c r="I1" s="8"/>
    </row>
    <row r="2" spans="1:9" ht="17.399999999999999" x14ac:dyDescent="0.3">
      <c r="A2" s="8" t="s">
        <v>36</v>
      </c>
      <c r="B2" s="8"/>
      <c r="C2" s="8"/>
      <c r="D2" s="8"/>
      <c r="E2" s="8"/>
      <c r="F2" s="8"/>
      <c r="G2" s="8"/>
      <c r="H2" s="8"/>
      <c r="I2" s="8"/>
    </row>
    <row r="3" spans="1:9" ht="15.6" x14ac:dyDescent="0.3">
      <c r="A3" s="9" t="s">
        <v>37</v>
      </c>
      <c r="B3" s="9"/>
      <c r="C3" s="9"/>
      <c r="D3" s="9"/>
      <c r="E3" s="9"/>
      <c r="F3" s="9"/>
      <c r="G3" s="9"/>
      <c r="H3" s="9"/>
      <c r="I3" s="9"/>
    </row>
    <row r="5" spans="1:9" x14ac:dyDescent="0.3">
      <c r="A5" s="1"/>
      <c r="B5" s="6">
        <v>43466</v>
      </c>
      <c r="C5" s="7"/>
      <c r="D5" s="7"/>
      <c r="F5" s="1"/>
      <c r="G5" s="10" t="s">
        <v>33</v>
      </c>
      <c r="H5" s="11"/>
      <c r="I5" s="11"/>
    </row>
    <row r="6" spans="1:9" ht="15" customHeight="1" x14ac:dyDescent="0.3">
      <c r="A6" s="1"/>
      <c r="B6" s="2" t="s">
        <v>0</v>
      </c>
      <c r="C6" s="2" t="s">
        <v>1</v>
      </c>
      <c r="D6" s="2" t="s">
        <v>2</v>
      </c>
      <c r="F6" s="1"/>
      <c r="G6" s="2" t="s">
        <v>0</v>
      </c>
      <c r="H6" s="2" t="s">
        <v>1</v>
      </c>
      <c r="I6" s="2" t="s">
        <v>2</v>
      </c>
    </row>
    <row r="7" spans="1:9" ht="15" customHeight="1" x14ac:dyDescent="0.3">
      <c r="A7" s="3" t="s">
        <v>3</v>
      </c>
      <c r="B7" s="5"/>
      <c r="C7" s="5"/>
      <c r="D7" s="5"/>
      <c r="F7" s="3" t="s">
        <v>3</v>
      </c>
      <c r="G7" s="4"/>
      <c r="H7" s="4"/>
      <c r="I7" s="4"/>
    </row>
    <row r="8" spans="1:9" x14ac:dyDescent="0.3">
      <c r="A8" s="12" t="s">
        <v>4</v>
      </c>
      <c r="B8" s="13">
        <f>447802.69</f>
        <v>447802.69</v>
      </c>
      <c r="C8" s="13">
        <f>447802.69</f>
        <v>447802.69</v>
      </c>
      <c r="D8" s="13">
        <f t="shared" ref="D8:D16" si="0">(B8)-(C8)</f>
        <v>0</v>
      </c>
      <c r="F8" s="12" t="s">
        <v>4</v>
      </c>
      <c r="G8" s="13">
        <f>3073590.09</f>
        <v>3073590.09</v>
      </c>
      <c r="H8" s="13">
        <f>3053955.09</f>
        <v>3053955.09</v>
      </c>
      <c r="I8" s="13">
        <f t="shared" ref="I8:I17" si="1">(G8)-(H8)</f>
        <v>19635</v>
      </c>
    </row>
    <row r="9" spans="1:9" ht="21.6" customHeight="1" x14ac:dyDescent="0.3">
      <c r="A9" s="12" t="s">
        <v>5</v>
      </c>
      <c r="B9" s="13">
        <f>2183</f>
        <v>2183</v>
      </c>
      <c r="C9" s="13">
        <f>4000</f>
        <v>4000</v>
      </c>
      <c r="D9" s="13">
        <f t="shared" si="0"/>
        <v>-1817</v>
      </c>
      <c r="F9" s="12" t="s">
        <v>5</v>
      </c>
      <c r="G9" s="13">
        <f>11674</f>
        <v>11674</v>
      </c>
      <c r="H9" s="13">
        <f>15753</f>
        <v>15753</v>
      </c>
      <c r="I9" s="13">
        <f t="shared" si="1"/>
        <v>-4079</v>
      </c>
    </row>
    <row r="10" spans="1:9" ht="17.399999999999999" customHeight="1" x14ac:dyDescent="0.3">
      <c r="A10" s="12" t="s">
        <v>6</v>
      </c>
      <c r="B10" s="13">
        <f>29000</f>
        <v>29000</v>
      </c>
      <c r="C10" s="14"/>
      <c r="D10" s="13">
        <f t="shared" si="0"/>
        <v>29000</v>
      </c>
      <c r="F10" s="12" t="s">
        <v>6</v>
      </c>
      <c r="G10" s="13">
        <f>154271.82</f>
        <v>154271.82</v>
      </c>
      <c r="H10" s="14"/>
      <c r="I10" s="13">
        <f t="shared" si="1"/>
        <v>154271.82</v>
      </c>
    </row>
    <row r="11" spans="1:9" ht="15.6" customHeight="1" x14ac:dyDescent="0.3">
      <c r="A11" s="12" t="s">
        <v>7</v>
      </c>
      <c r="B11" s="13">
        <f>5547.01</f>
        <v>5547.01</v>
      </c>
      <c r="C11" s="14"/>
      <c r="D11" s="13">
        <f t="shared" si="0"/>
        <v>5547.01</v>
      </c>
      <c r="F11" s="12" t="s">
        <v>7</v>
      </c>
      <c r="G11" s="13">
        <f>24064.08</f>
        <v>24064.080000000002</v>
      </c>
      <c r="H11" s="14"/>
      <c r="I11" s="13">
        <f t="shared" si="1"/>
        <v>24064.080000000002</v>
      </c>
    </row>
    <row r="12" spans="1:9" ht="19.2" customHeight="1" x14ac:dyDescent="0.3">
      <c r="A12" s="12" t="s">
        <v>8</v>
      </c>
      <c r="B12" s="14"/>
      <c r="C12" s="13">
        <f>9236.37</f>
        <v>9236.3700000000008</v>
      </c>
      <c r="D12" s="13">
        <f t="shared" si="0"/>
        <v>-9236.3700000000008</v>
      </c>
      <c r="E12" t="s">
        <v>31</v>
      </c>
      <c r="F12" s="12" t="s">
        <v>8</v>
      </c>
      <c r="G12" s="13">
        <f>30840.37</f>
        <v>30840.37</v>
      </c>
      <c r="H12" s="13">
        <f>45148.19</f>
        <v>45148.19</v>
      </c>
      <c r="I12" s="13">
        <f t="shared" si="1"/>
        <v>-14307.820000000003</v>
      </c>
    </row>
    <row r="13" spans="1:9" x14ac:dyDescent="0.3">
      <c r="A13" s="12" t="s">
        <v>9</v>
      </c>
      <c r="B13" s="13">
        <f>7093.53</f>
        <v>7093.53</v>
      </c>
      <c r="C13" s="13">
        <f>10000</f>
        <v>10000</v>
      </c>
      <c r="D13" s="13">
        <f t="shared" si="0"/>
        <v>-2906.4700000000003</v>
      </c>
      <c r="F13" s="12" t="s">
        <v>9</v>
      </c>
      <c r="G13" s="13">
        <f>37525.16</f>
        <v>37525.160000000003</v>
      </c>
      <c r="H13" s="13">
        <f>34957.98</f>
        <v>34957.980000000003</v>
      </c>
      <c r="I13" s="13">
        <f t="shared" si="1"/>
        <v>2567.1800000000003</v>
      </c>
    </row>
    <row r="14" spans="1:9" ht="21" customHeight="1" x14ac:dyDescent="0.3">
      <c r="A14" s="12" t="s">
        <v>10</v>
      </c>
      <c r="B14" s="13">
        <f>7574.03</f>
        <v>7574.03</v>
      </c>
      <c r="C14" s="13">
        <f>4545.45</f>
        <v>4545.45</v>
      </c>
      <c r="D14" s="13">
        <f t="shared" si="0"/>
        <v>3028.58</v>
      </c>
      <c r="F14" s="12" t="s">
        <v>10</v>
      </c>
      <c r="G14" s="13">
        <f>30948.78</f>
        <v>30948.78</v>
      </c>
      <c r="H14" s="13">
        <f>27272.7</f>
        <v>27272.7</v>
      </c>
      <c r="I14" s="13">
        <f t="shared" si="1"/>
        <v>3676.0799999999981</v>
      </c>
    </row>
    <row r="15" spans="1:9" ht="25.2" customHeight="1" x14ac:dyDescent="0.3">
      <c r="A15" s="12" t="s">
        <v>11</v>
      </c>
      <c r="B15" s="13">
        <f>572.92</f>
        <v>572.91999999999996</v>
      </c>
      <c r="C15" s="13">
        <f>0</f>
        <v>0</v>
      </c>
      <c r="D15" s="13">
        <f t="shared" si="0"/>
        <v>572.91999999999996</v>
      </c>
      <c r="F15" s="12" t="s">
        <v>11</v>
      </c>
      <c r="G15" s="13">
        <f>70232.58</f>
        <v>70232.58</v>
      </c>
      <c r="H15" s="13">
        <f>0</f>
        <v>0</v>
      </c>
      <c r="I15" s="13">
        <f t="shared" si="1"/>
        <v>70232.58</v>
      </c>
    </row>
    <row r="16" spans="1:9" ht="22.2" customHeight="1" x14ac:dyDescent="0.3">
      <c r="A16" s="12" t="s">
        <v>12</v>
      </c>
      <c r="B16" s="15">
        <f>(((((((B8)+(B9))+(B10))+(B11))+(B12))+(B13))+(B14))+(B15)</f>
        <v>499773.18000000005</v>
      </c>
      <c r="C16" s="15">
        <f>(((((((C8)+(C9))+(C10))+(C11))+(C12))+(C13))+(C14))+(C15)</f>
        <v>475584.51</v>
      </c>
      <c r="D16" s="15">
        <f t="shared" si="0"/>
        <v>24188.670000000042</v>
      </c>
      <c r="F16" s="12" t="s">
        <v>34</v>
      </c>
      <c r="G16" s="13">
        <f>568.75</f>
        <v>568.75</v>
      </c>
      <c r="H16" s="14"/>
      <c r="I16" s="13">
        <f t="shared" si="1"/>
        <v>568.75</v>
      </c>
    </row>
    <row r="17" spans="1:9" ht="21.6" customHeight="1" x14ac:dyDescent="0.3">
      <c r="A17" s="12" t="s">
        <v>13</v>
      </c>
      <c r="B17" s="14"/>
      <c r="C17" s="14"/>
      <c r="D17" s="14"/>
      <c r="F17" s="12" t="s">
        <v>12</v>
      </c>
      <c r="G17" s="15">
        <f>((((((((G8)+(G9))+(G10))+(G11))+(G12))+(G13))+(G14))+(G15))+(G16)</f>
        <v>3433715.63</v>
      </c>
      <c r="H17" s="15">
        <f>((((((((H8)+(H9))+(H10))+(H11))+(H12))+(H13))+(H14))+(H15))+(H16)</f>
        <v>3177086.96</v>
      </c>
      <c r="I17" s="15">
        <f t="shared" si="1"/>
        <v>256628.66999999993</v>
      </c>
    </row>
    <row r="18" spans="1:9" x14ac:dyDescent="0.3">
      <c r="A18" s="12" t="s">
        <v>14</v>
      </c>
      <c r="B18" s="13">
        <f>338381.26</f>
        <v>338381.26</v>
      </c>
      <c r="C18" s="13">
        <f>362295.29</f>
        <v>362295.29</v>
      </c>
      <c r="D18" s="13">
        <f t="shared" ref="D18:D29" si="2">(B18)-(C18)</f>
        <v>-23914.02999999997</v>
      </c>
      <c r="F18" s="12" t="s">
        <v>13</v>
      </c>
      <c r="G18" s="14"/>
      <c r="H18" s="14"/>
      <c r="I18" s="14"/>
    </row>
    <row r="19" spans="1:9" x14ac:dyDescent="0.3">
      <c r="A19" s="12" t="s">
        <v>15</v>
      </c>
      <c r="B19" s="13">
        <f>87886.87</f>
        <v>87886.87</v>
      </c>
      <c r="C19" s="13">
        <f>83351.84</f>
        <v>83351.839999999997</v>
      </c>
      <c r="D19" s="13">
        <f t="shared" si="2"/>
        <v>4535.0299999999988</v>
      </c>
      <c r="F19" s="12" t="s">
        <v>14</v>
      </c>
      <c r="G19" s="13">
        <f>2327766.79</f>
        <v>2327766.79</v>
      </c>
      <c r="H19" s="13">
        <f>2408930.75</f>
        <v>2408930.75</v>
      </c>
      <c r="I19" s="13">
        <f t="shared" ref="I19:I32" si="3">(G19)-(H19)</f>
        <v>-81163.959999999963</v>
      </c>
    </row>
    <row r="20" spans="1:9" x14ac:dyDescent="0.3">
      <c r="A20" s="12" t="s">
        <v>16</v>
      </c>
      <c r="B20" s="13">
        <f>2077.89</f>
        <v>2077.89</v>
      </c>
      <c r="C20" s="13">
        <f>1625</f>
        <v>1625</v>
      </c>
      <c r="D20" s="13">
        <f t="shared" si="2"/>
        <v>452.88999999999987</v>
      </c>
      <c r="F20" s="12" t="s">
        <v>15</v>
      </c>
      <c r="G20" s="13">
        <f>669277.28</f>
        <v>669277.28</v>
      </c>
      <c r="H20" s="13">
        <f>578668.88</f>
        <v>578668.88</v>
      </c>
      <c r="I20" s="13">
        <f t="shared" si="3"/>
        <v>90608.400000000023</v>
      </c>
    </row>
    <row r="21" spans="1:9" x14ac:dyDescent="0.3">
      <c r="A21" s="12" t="s">
        <v>17</v>
      </c>
      <c r="B21" s="13">
        <f>14989.25</f>
        <v>14989.25</v>
      </c>
      <c r="C21" s="13">
        <f>12558.33</f>
        <v>12558.33</v>
      </c>
      <c r="D21" s="13">
        <f t="shared" si="2"/>
        <v>2430.92</v>
      </c>
      <c r="F21" s="12" t="s">
        <v>16</v>
      </c>
      <c r="G21" s="13">
        <f>68756.56</f>
        <v>68756.56</v>
      </c>
      <c r="H21" s="13">
        <f>68175</f>
        <v>68175</v>
      </c>
      <c r="I21" s="13">
        <f t="shared" si="3"/>
        <v>581.55999999999767</v>
      </c>
    </row>
    <row r="22" spans="1:9" x14ac:dyDescent="0.3">
      <c r="A22" s="12" t="s">
        <v>18</v>
      </c>
      <c r="B22" s="13">
        <f>9120</f>
        <v>9120</v>
      </c>
      <c r="C22" s="13">
        <f>18416.67</f>
        <v>18416.669999999998</v>
      </c>
      <c r="D22" s="13">
        <f t="shared" si="2"/>
        <v>-9296.6699999999983</v>
      </c>
      <c r="F22" s="12" t="s">
        <v>35</v>
      </c>
      <c r="G22" s="13">
        <f>420</f>
        <v>420</v>
      </c>
      <c r="H22" s="14"/>
      <c r="I22" s="13">
        <f t="shared" si="3"/>
        <v>420</v>
      </c>
    </row>
    <row r="23" spans="1:9" x14ac:dyDescent="0.3">
      <c r="A23" s="12" t="s">
        <v>19</v>
      </c>
      <c r="B23" s="13">
        <f>1000</f>
        <v>1000</v>
      </c>
      <c r="C23" s="13">
        <f>6945.98</f>
        <v>6945.98</v>
      </c>
      <c r="D23" s="13">
        <f t="shared" si="2"/>
        <v>-5945.98</v>
      </c>
      <c r="F23" s="12" t="s">
        <v>17</v>
      </c>
      <c r="G23" s="13">
        <f>96641.24</f>
        <v>96641.24</v>
      </c>
      <c r="H23" s="13">
        <f>83208.31</f>
        <v>83208.31</v>
      </c>
      <c r="I23" s="13">
        <f t="shared" si="3"/>
        <v>13432.930000000008</v>
      </c>
    </row>
    <row r="24" spans="1:9" x14ac:dyDescent="0.3">
      <c r="A24" s="12" t="s">
        <v>20</v>
      </c>
      <c r="B24" s="13">
        <f>31949.3</f>
        <v>31949.3</v>
      </c>
      <c r="C24" s="13">
        <f>6666.67</f>
        <v>6666.67</v>
      </c>
      <c r="D24" s="13">
        <f t="shared" si="2"/>
        <v>25282.629999999997</v>
      </c>
      <c r="F24" s="12" t="s">
        <v>18</v>
      </c>
      <c r="G24" s="13">
        <f>57550</f>
        <v>57550</v>
      </c>
      <c r="H24" s="13">
        <f>107956.69</f>
        <v>107956.69</v>
      </c>
      <c r="I24" s="13">
        <f t="shared" si="3"/>
        <v>-50406.69</v>
      </c>
    </row>
    <row r="25" spans="1:9" x14ac:dyDescent="0.3">
      <c r="A25" s="12" t="s">
        <v>21</v>
      </c>
      <c r="B25" s="13">
        <f>32718.82</f>
        <v>32718.82</v>
      </c>
      <c r="C25" s="13">
        <f>0</f>
        <v>0</v>
      </c>
      <c r="D25" s="13">
        <f t="shared" si="2"/>
        <v>32718.82</v>
      </c>
      <c r="F25" s="12" t="s">
        <v>19</v>
      </c>
      <c r="G25" s="13">
        <f>52470.51</f>
        <v>52470.51</v>
      </c>
      <c r="H25" s="13">
        <f>40764.79</f>
        <v>40764.79</v>
      </c>
      <c r="I25" s="13">
        <f t="shared" si="3"/>
        <v>11705.720000000001</v>
      </c>
    </row>
    <row r="26" spans="1:9" x14ac:dyDescent="0.3">
      <c r="A26" s="12" t="s">
        <v>22</v>
      </c>
      <c r="B26" s="13">
        <f>5922.82</f>
        <v>5922.82</v>
      </c>
      <c r="C26" s="13">
        <f>41.67</f>
        <v>41.67</v>
      </c>
      <c r="D26" s="13">
        <f t="shared" si="2"/>
        <v>5881.15</v>
      </c>
      <c r="F26" s="12" t="s">
        <v>20</v>
      </c>
      <c r="G26" s="13">
        <f>73093.24</f>
        <v>73093.240000000005</v>
      </c>
      <c r="H26" s="13">
        <f>46666.69</f>
        <v>46666.69</v>
      </c>
      <c r="I26" s="13">
        <f t="shared" si="3"/>
        <v>26426.550000000003</v>
      </c>
    </row>
    <row r="27" spans="1:9" x14ac:dyDescent="0.3">
      <c r="A27" s="12" t="s">
        <v>32</v>
      </c>
      <c r="B27" s="13">
        <f>3290.75</f>
        <v>3290.75</v>
      </c>
      <c r="C27" s="14"/>
      <c r="D27" s="13">
        <f t="shared" si="2"/>
        <v>3290.75</v>
      </c>
      <c r="F27" s="12" t="s">
        <v>21</v>
      </c>
      <c r="G27" s="13">
        <f>80719.09</f>
        <v>80719.09</v>
      </c>
      <c r="H27" s="13">
        <f>30000</f>
        <v>30000</v>
      </c>
      <c r="I27" s="13">
        <f t="shared" si="3"/>
        <v>50719.09</v>
      </c>
    </row>
    <row r="28" spans="1:9" x14ac:dyDescent="0.3">
      <c r="A28" s="12" t="s">
        <v>24</v>
      </c>
      <c r="B28" s="13">
        <f>36</f>
        <v>36</v>
      </c>
      <c r="C28" s="14"/>
      <c r="D28" s="13">
        <f t="shared" si="2"/>
        <v>36</v>
      </c>
      <c r="F28" s="12" t="s">
        <v>22</v>
      </c>
      <c r="G28" s="13">
        <f>24532.96</f>
        <v>24532.959999999999</v>
      </c>
      <c r="H28" s="13">
        <f>291.69</f>
        <v>291.69</v>
      </c>
      <c r="I28" s="13">
        <f t="shared" si="3"/>
        <v>24241.27</v>
      </c>
    </row>
    <row r="29" spans="1:9" x14ac:dyDescent="0.3">
      <c r="A29" s="12" t="s">
        <v>25</v>
      </c>
      <c r="B29" s="15">
        <f>((((((((((B18)+(B19))+(B20))+(B21))+(B22))+(B23))+(B24))+(B25))+(B26))+(B27))+(B28)</f>
        <v>527372.96</v>
      </c>
      <c r="C29" s="15">
        <f>((((((((((C18)+(C19))+(C20))+(C21))+(C22))+(C23))+(C24))+(C25))+(C26))+(C27))+(C28)</f>
        <v>491901.44999999995</v>
      </c>
      <c r="D29" s="15">
        <f t="shared" si="2"/>
        <v>35471.510000000009</v>
      </c>
      <c r="F29" s="12" t="s">
        <v>23</v>
      </c>
      <c r="G29" s="13">
        <f>738.17</f>
        <v>738.17</v>
      </c>
      <c r="H29" s="14"/>
      <c r="I29" s="13">
        <f t="shared" si="3"/>
        <v>738.17</v>
      </c>
    </row>
    <row r="30" spans="1:9" x14ac:dyDescent="0.3">
      <c r="A30" s="12" t="s">
        <v>26</v>
      </c>
      <c r="B30" s="14"/>
      <c r="C30" s="14"/>
      <c r="D30" s="14"/>
      <c r="F30" s="12" t="s">
        <v>32</v>
      </c>
      <c r="G30" s="13">
        <f>16465.82</f>
        <v>16465.82</v>
      </c>
      <c r="H30" s="14"/>
      <c r="I30" s="13">
        <f t="shared" si="3"/>
        <v>16465.82</v>
      </c>
    </row>
    <row r="31" spans="1:9" x14ac:dyDescent="0.3">
      <c r="A31" s="12" t="s">
        <v>27</v>
      </c>
      <c r="B31" s="14"/>
      <c r="C31" s="13">
        <f>2000</f>
        <v>2000</v>
      </c>
      <c r="D31" s="13">
        <f>(B31)-(C31)</f>
        <v>-2000</v>
      </c>
      <c r="F31" s="12" t="s">
        <v>24</v>
      </c>
      <c r="G31" s="13">
        <f>156</f>
        <v>156</v>
      </c>
      <c r="H31" s="14"/>
      <c r="I31" s="13">
        <f t="shared" si="3"/>
        <v>156</v>
      </c>
    </row>
    <row r="32" spans="1:9" x14ac:dyDescent="0.3">
      <c r="A32" s="12" t="s">
        <v>28</v>
      </c>
      <c r="B32" s="15">
        <v>0</v>
      </c>
      <c r="C32" s="15">
        <f>C31</f>
        <v>2000</v>
      </c>
      <c r="D32" s="15">
        <f>(B32)-(C32)</f>
        <v>-2000</v>
      </c>
      <c r="F32" s="12" t="s">
        <v>25</v>
      </c>
      <c r="G32" s="15">
        <f>((((((((((((G19)+(G20))+(G21))+(G22))+(G23))+(G24))+(G25))+(G26))+(G27))+(G28))+(G29))+(G30))+(G31)</f>
        <v>3468587.66</v>
      </c>
      <c r="H32" s="15">
        <f>((((((((((((H19)+(H20))+(H21))+(H22))+(H23))+(H24))+(H25))+(H26))+(H27))+(H28))+(H29))+(H30))+(H31)</f>
        <v>3364662.8</v>
      </c>
      <c r="I32" s="15">
        <f t="shared" si="3"/>
        <v>103924.86000000034</v>
      </c>
    </row>
    <row r="33" spans="1:9" x14ac:dyDescent="0.3">
      <c r="A33" s="12" t="s">
        <v>30</v>
      </c>
      <c r="B33" s="15">
        <f>B16-B29-B32</f>
        <v>-27599.779999999912</v>
      </c>
      <c r="C33" s="15">
        <f t="shared" ref="C33:D33" si="4">C16-C29-C32</f>
        <v>-18316.939999999944</v>
      </c>
      <c r="D33" s="15">
        <f t="shared" si="4"/>
        <v>-9282.8399999999674</v>
      </c>
      <c r="F33" s="12" t="s">
        <v>26</v>
      </c>
      <c r="G33" s="14"/>
      <c r="H33" s="14"/>
      <c r="I33" s="14"/>
    </row>
    <row r="34" spans="1:9" x14ac:dyDescent="0.3">
      <c r="F34" s="12" t="s">
        <v>27</v>
      </c>
      <c r="G34" s="13">
        <f>0</f>
        <v>0</v>
      </c>
      <c r="H34" s="13">
        <f>14000</f>
        <v>14000</v>
      </c>
      <c r="I34" s="13">
        <f>(G34)-(H34)</f>
        <v>-14000</v>
      </c>
    </row>
    <row r="35" spans="1:9" ht="18" customHeight="1" x14ac:dyDescent="0.3">
      <c r="F35" s="12" t="s">
        <v>28</v>
      </c>
      <c r="G35" s="15">
        <f>G34</f>
        <v>0</v>
      </c>
      <c r="H35" s="15">
        <f t="shared" ref="H35:I35" si="5">H34</f>
        <v>14000</v>
      </c>
      <c r="I35" s="15">
        <f t="shared" si="5"/>
        <v>-14000</v>
      </c>
    </row>
    <row r="36" spans="1:9" ht="13.2" customHeight="1" x14ac:dyDescent="0.3">
      <c r="F36" s="12" t="s">
        <v>30</v>
      </c>
      <c r="G36" s="15">
        <f>G17-G32-G34</f>
        <v>-34872.030000000261</v>
      </c>
      <c r="H36" s="15">
        <f t="shared" ref="H36:I36" si="6">H17-H32-H34</f>
        <v>-201575.83999999985</v>
      </c>
      <c r="I36" s="15">
        <f t="shared" si="6"/>
        <v>166703.80999999959</v>
      </c>
    </row>
  </sheetData>
  <mergeCells count="5">
    <mergeCell ref="B5:D5"/>
    <mergeCell ref="A1:I1"/>
    <mergeCell ref="A2:I2"/>
    <mergeCell ref="A3:I3"/>
    <mergeCell ref="G5:I5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Chaz</cp:lastModifiedBy>
  <cp:lastPrinted>2018-11-13T00:32:55Z</cp:lastPrinted>
  <dcterms:created xsi:type="dcterms:W3CDTF">2018-08-17T18:40:37Z</dcterms:created>
  <dcterms:modified xsi:type="dcterms:W3CDTF">2019-02-05T19:55:24Z</dcterms:modified>
</cp:coreProperties>
</file>