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ndre\Prestige Dropbox\Prestige School Solutions Team Folder\Client Files\JICH (James Island Charter High School)\FY 2023\Budget Wokring and Adjustments\"/>
    </mc:Choice>
  </mc:AlternateContent>
  <xr:revisionPtr revIDLastSave="0" documentId="13_ncr:1_{81A8B417-0C29-46D8-80E8-EE6804F62E6C}" xr6:coauthVersionLast="47" xr6:coauthVersionMax="47" xr10:uidLastSave="{00000000-0000-0000-0000-000000000000}"/>
  <bookViews>
    <workbookView xWindow="-28920" yWindow="-105" windowWidth="29040" windowHeight="15720" activeTab="2" xr2:uid="{00000000-000D-0000-FFFF-FFFF00000000}"/>
  </bookViews>
  <sheets>
    <sheet name="FY23 EFA" sheetId="1" r:id="rId1"/>
    <sheet name="FY23 Staffing Schedule" sheetId="2" state="hidden" r:id="rId2"/>
    <sheet name="FY23 Budget " sheetId="3" r:id="rId3"/>
    <sheet name="Sheet1" sheetId="4" state="hidden" r:id="rId4"/>
  </sheets>
  <definedNames>
    <definedName name="_xlnm.Print_Area" localSheetId="2">'FY23 Budget '!$A$1:$E$315</definedName>
    <definedName name="_xlnm.Print_Titles" localSheetId="2">'FY23 Budget 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4" l="1"/>
  <c r="B37" i="4"/>
  <c r="B38" i="4"/>
  <c r="B39" i="4"/>
  <c r="B40" i="4"/>
  <c r="D265" i="3"/>
  <c r="A14" i="4"/>
  <c r="F222" i="2"/>
  <c r="D132" i="3"/>
  <c r="B132" i="3"/>
  <c r="D13" i="3"/>
  <c r="D184" i="3"/>
  <c r="B303" i="3"/>
  <c r="C303" i="3"/>
  <c r="B287" i="3"/>
  <c r="C287" i="3"/>
  <c r="D287" i="3"/>
  <c r="B277" i="3"/>
  <c r="C277" i="3"/>
  <c r="D277" i="3"/>
  <c r="B272" i="3"/>
  <c r="C272" i="3"/>
  <c r="B253" i="3"/>
  <c r="C253" i="3"/>
  <c r="B242" i="3"/>
  <c r="C242" i="3"/>
  <c r="B223" i="3"/>
  <c r="C223" i="3"/>
  <c r="B218" i="3"/>
  <c r="C218" i="3"/>
  <c r="D218" i="3"/>
  <c r="B211" i="3"/>
  <c r="C211" i="3"/>
  <c r="D211" i="3"/>
  <c r="B205" i="3"/>
  <c r="C205" i="3"/>
  <c r="D205" i="3"/>
  <c r="B194" i="3"/>
  <c r="C194" i="3"/>
  <c r="D194" i="3"/>
  <c r="B184" i="3"/>
  <c r="C184" i="3"/>
  <c r="B174" i="3"/>
  <c r="C174" i="3"/>
  <c r="D165" i="3"/>
  <c r="D157" i="3"/>
  <c r="B153" i="3"/>
  <c r="C153" i="3"/>
  <c r="D153" i="3"/>
  <c r="B146" i="3"/>
  <c r="C146" i="3"/>
  <c r="C132" i="3"/>
  <c r="B124" i="3"/>
  <c r="C124" i="3"/>
  <c r="D124" i="3"/>
  <c r="B114" i="3"/>
  <c r="C114" i="3"/>
  <c r="B105" i="3"/>
  <c r="C105" i="3"/>
  <c r="D105" i="3"/>
  <c r="B91" i="3"/>
  <c r="C91" i="3"/>
  <c r="D91" i="3"/>
  <c r="D65" i="3"/>
  <c r="D60" i="3"/>
  <c r="D55" i="3"/>
  <c r="D66" i="3" s="1"/>
  <c r="D49" i="3"/>
  <c r="D43" i="3"/>
  <c r="D41" i="3"/>
  <c r="D37" i="3"/>
  <c r="D30" i="3"/>
  <c r="D23" i="3"/>
  <c r="D18" i="3"/>
  <c r="D114" i="3"/>
  <c r="M54" i="3"/>
  <c r="M58" i="3" s="1"/>
  <c r="J30" i="1"/>
  <c r="I18" i="1"/>
  <c r="D50" i="3" l="1"/>
  <c r="D31" i="3"/>
  <c r="D67" i="3" s="1"/>
  <c r="I9" i="1"/>
  <c r="F5" i="1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116" i="2"/>
  <c r="U186" i="2"/>
  <c r="V185" i="2"/>
  <c r="F159" i="2"/>
  <c r="F160" i="2"/>
  <c r="F161" i="2"/>
  <c r="F167" i="2" s="1"/>
  <c r="F162" i="2"/>
  <c r="F163" i="2"/>
  <c r="F164" i="2"/>
  <c r="F165" i="2"/>
  <c r="F166" i="2"/>
  <c r="F158" i="2"/>
  <c r="F115" i="2"/>
  <c r="F116" i="2"/>
  <c r="W116" i="2" s="1"/>
  <c r="N62" i="2"/>
  <c r="N61" i="2"/>
  <c r="O48" i="2"/>
  <c r="P48" i="2"/>
  <c r="Q48" i="2"/>
  <c r="R48" i="2"/>
  <c r="S48" i="2"/>
  <c r="T48" i="2"/>
  <c r="N8" i="2"/>
  <c r="N19" i="2" s="1"/>
  <c r="N2" i="2"/>
  <c r="M216" i="2"/>
  <c r="M205" i="2"/>
  <c r="M194" i="2"/>
  <c r="M186" i="2"/>
  <c r="M152" i="2"/>
  <c r="M128" i="2"/>
  <c r="M117" i="2"/>
  <c r="M25" i="2"/>
  <c r="M4" i="2"/>
  <c r="D272" i="3"/>
  <c r="N8" i="1"/>
  <c r="Y116" i="2" l="1"/>
  <c r="X116" i="2"/>
  <c r="Z116" i="2" s="1"/>
  <c r="N48" i="2"/>
  <c r="M95" i="2"/>
  <c r="D242" i="3"/>
  <c r="D174" i="3"/>
  <c r="D146" i="3"/>
  <c r="G216" i="2"/>
  <c r="H216" i="2"/>
  <c r="I216" i="2"/>
  <c r="J216" i="2"/>
  <c r="K216" i="2"/>
  <c r="L216" i="2"/>
  <c r="O216" i="2"/>
  <c r="P216" i="2"/>
  <c r="Q216" i="2"/>
  <c r="R216" i="2"/>
  <c r="S216" i="2"/>
  <c r="T216" i="2"/>
  <c r="U216" i="2"/>
  <c r="V126" i="2"/>
  <c r="V127" i="2"/>
  <c r="V115" i="2"/>
  <c r="W115" i="2"/>
  <c r="X115" i="2"/>
  <c r="Y115" i="2"/>
  <c r="Z115" i="2" l="1"/>
  <c r="G219" i="2"/>
  <c r="H219" i="2"/>
  <c r="I219" i="2"/>
  <c r="J219" i="2"/>
  <c r="K219" i="2"/>
  <c r="L219" i="2"/>
  <c r="G208" i="2"/>
  <c r="H208" i="2"/>
  <c r="I208" i="2"/>
  <c r="J208" i="2"/>
  <c r="K208" i="2"/>
  <c r="L208" i="2"/>
  <c r="G205" i="2"/>
  <c r="H205" i="2"/>
  <c r="I205" i="2"/>
  <c r="J205" i="2"/>
  <c r="K205" i="2"/>
  <c r="L205" i="2"/>
  <c r="G194" i="2"/>
  <c r="H194" i="2"/>
  <c r="I194" i="2"/>
  <c r="J194" i="2"/>
  <c r="K194" i="2"/>
  <c r="L194" i="2"/>
  <c r="G186" i="2"/>
  <c r="H186" i="2"/>
  <c r="I186" i="2"/>
  <c r="J186" i="2"/>
  <c r="K186" i="2"/>
  <c r="L186" i="2"/>
  <c r="G179" i="2"/>
  <c r="H179" i="2"/>
  <c r="I179" i="2"/>
  <c r="J179" i="2"/>
  <c r="K179" i="2"/>
  <c r="L179" i="2"/>
  <c r="G175" i="2"/>
  <c r="H175" i="2"/>
  <c r="I175" i="2"/>
  <c r="J175" i="2"/>
  <c r="K175" i="2"/>
  <c r="L175" i="2"/>
  <c r="G171" i="2"/>
  <c r="H171" i="2"/>
  <c r="I171" i="2"/>
  <c r="J171" i="2"/>
  <c r="K171" i="2"/>
  <c r="L171" i="2"/>
  <c r="G167" i="2"/>
  <c r="H167" i="2"/>
  <c r="I167" i="2"/>
  <c r="J167" i="2"/>
  <c r="K167" i="2"/>
  <c r="G156" i="2"/>
  <c r="H156" i="2"/>
  <c r="I156" i="2"/>
  <c r="J156" i="2"/>
  <c r="K156" i="2"/>
  <c r="G151" i="2"/>
  <c r="G152" i="2" s="1"/>
  <c r="H151" i="2"/>
  <c r="H152" i="2" s="1"/>
  <c r="I151" i="2"/>
  <c r="I152" i="2" s="1"/>
  <c r="J151" i="2"/>
  <c r="J152" i="2" s="1"/>
  <c r="K151" i="2"/>
  <c r="K152" i="2" s="1"/>
  <c r="G135" i="2"/>
  <c r="H135" i="2"/>
  <c r="I135" i="2"/>
  <c r="J135" i="2"/>
  <c r="K135" i="2"/>
  <c r="L135" i="2"/>
  <c r="G128" i="2"/>
  <c r="H128" i="2"/>
  <c r="I128" i="2"/>
  <c r="J128" i="2"/>
  <c r="K128" i="2"/>
  <c r="L128" i="2"/>
  <c r="G117" i="2"/>
  <c r="H117" i="2"/>
  <c r="I117" i="2"/>
  <c r="J117" i="2"/>
  <c r="K117" i="2"/>
  <c r="L117" i="2"/>
  <c r="G100" i="2"/>
  <c r="H100" i="2"/>
  <c r="I100" i="2"/>
  <c r="J100" i="2"/>
  <c r="K100" i="2"/>
  <c r="L100" i="2"/>
  <c r="N219" i="2"/>
  <c r="N207" i="2"/>
  <c r="N208" i="2" s="1"/>
  <c r="K153" i="2" l="1"/>
  <c r="N216" i="2"/>
  <c r="N205" i="2"/>
  <c r="I153" i="2"/>
  <c r="G153" i="2"/>
  <c r="N194" i="2"/>
  <c r="J153" i="2"/>
  <c r="H153" i="2"/>
  <c r="I15" i="1" l="1"/>
  <c r="F213" i="2" l="1"/>
  <c r="W213" i="2" s="1"/>
  <c r="F214" i="2"/>
  <c r="W214" i="2" s="1"/>
  <c r="F201" i="2"/>
  <c r="W201" i="2" s="1"/>
  <c r="F76" i="2"/>
  <c r="W76" i="2" s="1"/>
  <c r="F44" i="2"/>
  <c r="W44" i="2" s="1"/>
  <c r="F7" i="2"/>
  <c r="W7" i="2" s="1"/>
  <c r="F8" i="2"/>
  <c r="W8" i="2" s="1"/>
  <c r="F9" i="2"/>
  <c r="W9" i="2" s="1"/>
  <c r="F10" i="2"/>
  <c r="W10" i="2" s="1"/>
  <c r="F11" i="2"/>
  <c r="W11" i="2" s="1"/>
  <c r="F12" i="2"/>
  <c r="W12" i="2" s="1"/>
  <c r="F13" i="2"/>
  <c r="W13" i="2" s="1"/>
  <c r="F14" i="2"/>
  <c r="W14" i="2" s="1"/>
  <c r="F15" i="2"/>
  <c r="W15" i="2" s="1"/>
  <c r="F16" i="2"/>
  <c r="W16" i="2" s="1"/>
  <c r="F17" i="2"/>
  <c r="W17" i="2" s="1"/>
  <c r="F18" i="2"/>
  <c r="W18" i="2" s="1"/>
  <c r="F22" i="2"/>
  <c r="W22" i="2" s="1"/>
  <c r="F24" i="2"/>
  <c r="W24" i="2" s="1"/>
  <c r="F28" i="2"/>
  <c r="W28" i="2" s="1"/>
  <c r="F29" i="2"/>
  <c r="W29" i="2" s="1"/>
  <c r="F30" i="2"/>
  <c r="W30" i="2" s="1"/>
  <c r="F34" i="2"/>
  <c r="W34" i="2" s="1"/>
  <c r="F35" i="2"/>
  <c r="W35" i="2" s="1"/>
  <c r="F36" i="2"/>
  <c r="W36" i="2" s="1"/>
  <c r="F37" i="2"/>
  <c r="W37" i="2" s="1"/>
  <c r="F38" i="2"/>
  <c r="W38" i="2" s="1"/>
  <c r="F39" i="2"/>
  <c r="W39" i="2" s="1"/>
  <c r="F40" i="2"/>
  <c r="W40" i="2" s="1"/>
  <c r="F41" i="2"/>
  <c r="W41" i="2" s="1"/>
  <c r="F42" i="2"/>
  <c r="W42" i="2" s="1"/>
  <c r="F43" i="2"/>
  <c r="W43" i="2" s="1"/>
  <c r="F45" i="2"/>
  <c r="W45" i="2" s="1"/>
  <c r="F46" i="2"/>
  <c r="W46" i="2" s="1"/>
  <c r="F47" i="2"/>
  <c r="W47" i="2" s="1"/>
  <c r="F50" i="2"/>
  <c r="F52" i="2"/>
  <c r="W52" i="2" s="1"/>
  <c r="F53" i="2"/>
  <c r="W53" i="2" s="1"/>
  <c r="F54" i="2"/>
  <c r="W54" i="2" s="1"/>
  <c r="F55" i="2"/>
  <c r="W55" i="2" s="1"/>
  <c r="F56" i="2"/>
  <c r="W56" i="2" s="1"/>
  <c r="F57" i="2"/>
  <c r="W57" i="2" s="1"/>
  <c r="F58" i="2"/>
  <c r="W58" i="2" s="1"/>
  <c r="F62" i="2"/>
  <c r="W62" i="2" s="1"/>
  <c r="F67" i="2"/>
  <c r="W67" i="2" s="1"/>
  <c r="F68" i="2"/>
  <c r="W68" i="2" s="1"/>
  <c r="F69" i="2"/>
  <c r="W69" i="2" s="1"/>
  <c r="F70" i="2"/>
  <c r="W70" i="2" s="1"/>
  <c r="F71" i="2"/>
  <c r="W71" i="2" s="1"/>
  <c r="F72" i="2"/>
  <c r="W72" i="2" s="1"/>
  <c r="F73" i="2"/>
  <c r="W73" i="2" s="1"/>
  <c r="F74" i="2"/>
  <c r="W74" i="2" s="1"/>
  <c r="F75" i="2"/>
  <c r="W75" i="2" s="1"/>
  <c r="F81" i="2"/>
  <c r="W81" i="2" s="1"/>
  <c r="F82" i="2"/>
  <c r="W82" i="2" s="1"/>
  <c r="F83" i="2"/>
  <c r="W83" i="2" s="1"/>
  <c r="F84" i="2"/>
  <c r="W84" i="2" s="1"/>
  <c r="F85" i="2"/>
  <c r="W85" i="2" s="1"/>
  <c r="F86" i="2"/>
  <c r="W86" i="2" s="1"/>
  <c r="F87" i="2"/>
  <c r="W87" i="2" s="1"/>
  <c r="F88" i="2"/>
  <c r="W88" i="2" s="1"/>
  <c r="F89" i="2"/>
  <c r="W89" i="2" s="1"/>
  <c r="F90" i="2"/>
  <c r="W90" i="2" s="1"/>
  <c r="F91" i="2"/>
  <c r="W91" i="2" s="1"/>
  <c r="F92" i="2"/>
  <c r="W92" i="2" s="1"/>
  <c r="F93" i="2"/>
  <c r="W93" i="2" s="1"/>
  <c r="F98" i="2"/>
  <c r="W98" i="2" s="1"/>
  <c r="F99" i="2"/>
  <c r="W99" i="2" s="1"/>
  <c r="F102" i="2"/>
  <c r="F103" i="2"/>
  <c r="W103" i="2" s="1"/>
  <c r="F104" i="2"/>
  <c r="W104" i="2" s="1"/>
  <c r="F105" i="2"/>
  <c r="W105" i="2" s="1"/>
  <c r="F106" i="2"/>
  <c r="W106" i="2" s="1"/>
  <c r="F107" i="2"/>
  <c r="W107" i="2" s="1"/>
  <c r="F108" i="2"/>
  <c r="W108" i="2" s="1"/>
  <c r="F109" i="2"/>
  <c r="W109" i="2" s="1"/>
  <c r="F110" i="2"/>
  <c r="W110" i="2" s="1"/>
  <c r="F111" i="2"/>
  <c r="W111" i="2" s="1"/>
  <c r="F112" i="2"/>
  <c r="W112" i="2" s="1"/>
  <c r="F113" i="2"/>
  <c r="W113" i="2" s="1"/>
  <c r="F114" i="2"/>
  <c r="W114" i="2" s="1"/>
  <c r="F120" i="2"/>
  <c r="W120" i="2" s="1"/>
  <c r="F121" i="2"/>
  <c r="W121" i="2" s="1"/>
  <c r="F122" i="2"/>
  <c r="W122" i="2" s="1"/>
  <c r="F123" i="2"/>
  <c r="W123" i="2" s="1"/>
  <c r="F124" i="2"/>
  <c r="W124" i="2" s="1"/>
  <c r="F125" i="2"/>
  <c r="W125" i="2" s="1"/>
  <c r="F126" i="2"/>
  <c r="F127" i="2"/>
  <c r="F131" i="2"/>
  <c r="W131" i="2" s="1"/>
  <c r="F132" i="2"/>
  <c r="W132" i="2" s="1"/>
  <c r="F133" i="2"/>
  <c r="W133" i="2" s="1"/>
  <c r="F134" i="2"/>
  <c r="W134" i="2" s="1"/>
  <c r="F139" i="2"/>
  <c r="W139" i="2" s="1"/>
  <c r="F140" i="2"/>
  <c r="W140" i="2" s="1"/>
  <c r="F141" i="2"/>
  <c r="W141" i="2" s="1"/>
  <c r="F142" i="2"/>
  <c r="W142" i="2" s="1"/>
  <c r="F143" i="2"/>
  <c r="W143" i="2" s="1"/>
  <c r="F145" i="2"/>
  <c r="W145" i="2" s="1"/>
  <c r="F147" i="2"/>
  <c r="W147" i="2" s="1"/>
  <c r="F148" i="2"/>
  <c r="W148" i="2" s="1"/>
  <c r="F149" i="2"/>
  <c r="W149" i="2" s="1"/>
  <c r="F150" i="2"/>
  <c r="W150" i="2" s="1"/>
  <c r="W160" i="2"/>
  <c r="W161" i="2"/>
  <c r="W162" i="2"/>
  <c r="W163" i="2"/>
  <c r="W164" i="2"/>
  <c r="W165" i="2"/>
  <c r="W166" i="2"/>
  <c r="F170" i="2"/>
  <c r="W170" i="2" s="1"/>
  <c r="F174" i="2"/>
  <c r="W174" i="2" s="1"/>
  <c r="F178" i="2"/>
  <c r="W178" i="2" s="1"/>
  <c r="F182" i="2"/>
  <c r="W182" i="2" s="1"/>
  <c r="F183" i="2"/>
  <c r="W183" i="2" s="1"/>
  <c r="F184" i="2"/>
  <c r="W184" i="2" s="1"/>
  <c r="F185" i="2"/>
  <c r="F188" i="2"/>
  <c r="F189" i="2"/>
  <c r="W189" i="2" s="1"/>
  <c r="F190" i="2"/>
  <c r="W190" i="2" s="1"/>
  <c r="F191" i="2"/>
  <c r="W191" i="2" s="1"/>
  <c r="F192" i="2"/>
  <c r="W192" i="2" s="1"/>
  <c r="F193" i="2"/>
  <c r="F196" i="2"/>
  <c r="F197" i="2"/>
  <c r="W197" i="2" s="1"/>
  <c r="F198" i="2"/>
  <c r="W198" i="2" s="1"/>
  <c r="F199" i="2"/>
  <c r="W199" i="2" s="1"/>
  <c r="F200" i="2"/>
  <c r="W200" i="2" s="1"/>
  <c r="F202" i="2"/>
  <c r="W202" i="2" s="1"/>
  <c r="F203" i="2"/>
  <c r="W203" i="2" s="1"/>
  <c r="F204" i="2"/>
  <c r="W204" i="2" s="1"/>
  <c r="F207" i="2"/>
  <c r="F208" i="2" s="1"/>
  <c r="F210" i="2"/>
  <c r="F211" i="2"/>
  <c r="W211" i="2" s="1"/>
  <c r="F212" i="2"/>
  <c r="W212" i="2" s="1"/>
  <c r="F215" i="2"/>
  <c r="W215" i="2" s="1"/>
  <c r="F218" i="2"/>
  <c r="F219" i="2" s="1"/>
  <c r="F3" i="2"/>
  <c r="W3" i="2" s="1"/>
  <c r="N4" i="2"/>
  <c r="F224" i="2"/>
  <c r="G73" i="3"/>
  <c r="G74" i="3"/>
  <c r="F216" i="2" l="1"/>
  <c r="X185" i="2"/>
  <c r="Y185" i="2"/>
  <c r="W185" i="2"/>
  <c r="Z185" i="2" s="1"/>
  <c r="F117" i="2"/>
  <c r="F205" i="2"/>
  <c r="W193" i="2"/>
  <c r="F194" i="2"/>
  <c r="W188" i="2"/>
  <c r="W102" i="2"/>
  <c r="W210" i="2"/>
  <c r="W216" i="2" s="1"/>
  <c r="W207" i="2"/>
  <c r="W196" i="2"/>
  <c r="W218" i="2"/>
  <c r="W50" i="2"/>
  <c r="W127" i="2"/>
  <c r="Y127" i="2"/>
  <c r="X127" i="2"/>
  <c r="W126" i="2"/>
  <c r="X126" i="2"/>
  <c r="Y126" i="2"/>
  <c r="F2" i="2"/>
  <c r="F4" i="2" s="1"/>
  <c r="F169" i="2"/>
  <c r="F171" i="2" s="1"/>
  <c r="N171" i="2"/>
  <c r="N117" i="2"/>
  <c r="F80" i="2"/>
  <c r="F94" i="2" s="1"/>
  <c r="N94" i="2"/>
  <c r="F97" i="2"/>
  <c r="F100" i="2" s="1"/>
  <c r="N100" i="2"/>
  <c r="N31" i="2"/>
  <c r="F177" i="2"/>
  <c r="F179" i="2" s="1"/>
  <c r="N179" i="2"/>
  <c r="F137" i="2"/>
  <c r="F65" i="2"/>
  <c r="F130" i="2"/>
  <c r="N135" i="2"/>
  <c r="N186" i="2"/>
  <c r="F119" i="2"/>
  <c r="F128" i="2" s="1"/>
  <c r="N128" i="2"/>
  <c r="F6" i="2"/>
  <c r="F19" i="2" s="1"/>
  <c r="F21" i="2"/>
  <c r="F173" i="2"/>
  <c r="F175" i="2" s="1"/>
  <c r="N175" i="2"/>
  <c r="F61" i="2"/>
  <c r="F63" i="2" s="1"/>
  <c r="N63" i="2"/>
  <c r="F51" i="2"/>
  <c r="W51" i="2" s="1"/>
  <c r="F33" i="2"/>
  <c r="F48" i="2" s="1"/>
  <c r="F27" i="2"/>
  <c r="F31" i="2" s="1"/>
  <c r="F181" i="2"/>
  <c r="F186" i="2" s="1"/>
  <c r="B49" i="3"/>
  <c r="I25" i="1"/>
  <c r="I27" i="1" s="1"/>
  <c r="F59" i="2" l="1"/>
  <c r="W59" i="2"/>
  <c r="Z127" i="2"/>
  <c r="W119" i="2"/>
  <c r="W169" i="2"/>
  <c r="W2" i="2"/>
  <c r="W181" i="2"/>
  <c r="W173" i="2"/>
  <c r="W177" i="2"/>
  <c r="W61" i="2"/>
  <c r="W97" i="2"/>
  <c r="W27" i="2"/>
  <c r="W130" i="2"/>
  <c r="F135" i="2"/>
  <c r="W21" i="2"/>
  <c r="W65" i="2"/>
  <c r="W80" i="2"/>
  <c r="W33" i="2"/>
  <c r="W137" i="2"/>
  <c r="W6" i="2"/>
  <c r="W158" i="2"/>
  <c r="Z126" i="2"/>
  <c r="G72" i="3"/>
  <c r="O205" i="2"/>
  <c r="P205" i="2"/>
  <c r="Q205" i="2"/>
  <c r="R205" i="2"/>
  <c r="S205" i="2"/>
  <c r="T205" i="2"/>
  <c r="U205" i="2"/>
  <c r="O194" i="2"/>
  <c r="P194" i="2"/>
  <c r="Q194" i="2"/>
  <c r="R194" i="2"/>
  <c r="S194" i="2"/>
  <c r="T194" i="2"/>
  <c r="U194" i="2"/>
  <c r="O186" i="2"/>
  <c r="P186" i="2"/>
  <c r="Q186" i="2"/>
  <c r="R186" i="2"/>
  <c r="S186" i="2"/>
  <c r="T186" i="2"/>
  <c r="O128" i="2"/>
  <c r="P128" i="2"/>
  <c r="Q128" i="2"/>
  <c r="R128" i="2"/>
  <c r="S128" i="2"/>
  <c r="T128" i="2"/>
  <c r="U128" i="2"/>
  <c r="O117" i="2"/>
  <c r="P117" i="2"/>
  <c r="Q117" i="2"/>
  <c r="R117" i="2"/>
  <c r="S117" i="2"/>
  <c r="T117" i="2"/>
  <c r="U117" i="2"/>
  <c r="O4" i="2"/>
  <c r="O19" i="2" s="1"/>
  <c r="P4" i="2"/>
  <c r="P19" i="2" s="1"/>
  <c r="Q4" i="2"/>
  <c r="Q19" i="2" s="1"/>
  <c r="R4" i="2"/>
  <c r="R19" i="2" s="1"/>
  <c r="S4" i="2"/>
  <c r="S19" i="2" s="1"/>
  <c r="T4" i="2"/>
  <c r="T19" i="2" s="1"/>
  <c r="U4" i="2"/>
  <c r="U19" i="2" s="1"/>
  <c r="O25" i="2"/>
  <c r="O31" i="2" s="1"/>
  <c r="P25" i="2"/>
  <c r="P31" i="2" s="1"/>
  <c r="Q25" i="2"/>
  <c r="Q31" i="2" s="1"/>
  <c r="R25" i="2"/>
  <c r="R31" i="2" s="1"/>
  <c r="S25" i="2"/>
  <c r="S31" i="2" s="1"/>
  <c r="T25" i="2"/>
  <c r="T31" i="2" s="1"/>
  <c r="U25" i="2"/>
  <c r="U31" i="2" s="1"/>
  <c r="D311" i="3"/>
  <c r="D312" i="3" s="1"/>
  <c r="C311" i="3"/>
  <c r="C312" i="3" s="1"/>
  <c r="B311" i="3"/>
  <c r="B312" i="3" s="1"/>
  <c r="D223" i="3"/>
  <c r="C165" i="3"/>
  <c r="B165" i="3"/>
  <c r="C157" i="3"/>
  <c r="B157" i="3"/>
  <c r="D136" i="3"/>
  <c r="C136" i="3"/>
  <c r="B136" i="3"/>
  <c r="C65" i="3"/>
  <c r="B65" i="3"/>
  <c r="C60" i="3"/>
  <c r="B60" i="3"/>
  <c r="C55" i="3"/>
  <c r="B55" i="3"/>
  <c r="C49" i="3"/>
  <c r="C41" i="3"/>
  <c r="B41" i="3"/>
  <c r="C37" i="3"/>
  <c r="B37" i="3"/>
  <c r="C30" i="3"/>
  <c r="B30" i="3"/>
  <c r="C23" i="3"/>
  <c r="B23" i="3"/>
  <c r="C18" i="3"/>
  <c r="B18" i="3"/>
  <c r="C13" i="3"/>
  <c r="B13" i="3"/>
  <c r="F306" i="2"/>
  <c r="F297" i="2"/>
  <c r="F300" i="2" s="1"/>
  <c r="I234" i="2"/>
  <c r="G234" i="2"/>
  <c r="U219" i="2"/>
  <c r="T219" i="2"/>
  <c r="S219" i="2"/>
  <c r="R219" i="2"/>
  <c r="Q219" i="2"/>
  <c r="P219" i="2"/>
  <c r="O219" i="2"/>
  <c r="V218" i="2"/>
  <c r="V219" i="2" s="1"/>
  <c r="V215" i="2"/>
  <c r="V214" i="2"/>
  <c r="V213" i="2"/>
  <c r="Y213" i="2"/>
  <c r="V212" i="2"/>
  <c r="X212" i="2"/>
  <c r="V211" i="2"/>
  <c r="V210" i="2"/>
  <c r="Y210" i="2"/>
  <c r="U208" i="2"/>
  <c r="T208" i="2"/>
  <c r="S208" i="2"/>
  <c r="R208" i="2"/>
  <c r="Q208" i="2"/>
  <c r="P208" i="2"/>
  <c r="O208" i="2"/>
  <c r="W208" i="2"/>
  <c r="V207" i="2"/>
  <c r="V208" i="2" s="1"/>
  <c r="V204" i="2"/>
  <c r="V203" i="2"/>
  <c r="V202" i="2"/>
  <c r="Y202" i="2"/>
  <c r="V201" i="2"/>
  <c r="V200" i="2"/>
  <c r="V199" i="2"/>
  <c r="V198" i="2"/>
  <c r="Y198" i="2"/>
  <c r="V197" i="2"/>
  <c r="X197" i="2"/>
  <c r="V196" i="2"/>
  <c r="V193" i="2"/>
  <c r="V192" i="2"/>
  <c r="V191" i="2"/>
  <c r="V190" i="2"/>
  <c r="Y190" i="2"/>
  <c r="V189" i="2"/>
  <c r="Y189" i="2"/>
  <c r="V188" i="2"/>
  <c r="V184" i="2"/>
  <c r="V183" i="2"/>
  <c r="Y183" i="2"/>
  <c r="V182" i="2"/>
  <c r="Y182" i="2"/>
  <c r="V181" i="2"/>
  <c r="U179" i="2"/>
  <c r="T179" i="2"/>
  <c r="S179" i="2"/>
  <c r="R179" i="2"/>
  <c r="Q179" i="2"/>
  <c r="P179" i="2"/>
  <c r="O179" i="2"/>
  <c r="V178" i="2"/>
  <c r="Y178" i="2"/>
  <c r="V177" i="2"/>
  <c r="U175" i="2"/>
  <c r="T175" i="2"/>
  <c r="S175" i="2"/>
  <c r="R175" i="2"/>
  <c r="Q175" i="2"/>
  <c r="P175" i="2"/>
  <c r="O175" i="2"/>
  <c r="V174" i="2"/>
  <c r="X174" i="2"/>
  <c r="V173" i="2"/>
  <c r="U171" i="2"/>
  <c r="T171" i="2"/>
  <c r="S171" i="2"/>
  <c r="R171" i="2"/>
  <c r="Q171" i="2"/>
  <c r="P171" i="2"/>
  <c r="O171" i="2"/>
  <c r="V170" i="2"/>
  <c r="Y170" i="2"/>
  <c r="V169" i="2"/>
  <c r="U167" i="2"/>
  <c r="T167" i="2"/>
  <c r="S167" i="2"/>
  <c r="R167" i="2"/>
  <c r="Q167" i="2"/>
  <c r="P167" i="2"/>
  <c r="O167" i="2"/>
  <c r="V166" i="2"/>
  <c r="Y166" i="2"/>
  <c r="V165" i="2"/>
  <c r="V164" i="2"/>
  <c r="V163" i="2"/>
  <c r="Y163" i="2"/>
  <c r="V162" i="2"/>
  <c r="X162" i="2"/>
  <c r="V161" i="2"/>
  <c r="X161" i="2"/>
  <c r="V160" i="2"/>
  <c r="V159" i="2"/>
  <c r="L159" i="2"/>
  <c r="V158" i="2"/>
  <c r="Y158" i="2"/>
  <c r="U156" i="2"/>
  <c r="T156" i="2"/>
  <c r="S156" i="2"/>
  <c r="R156" i="2"/>
  <c r="Q156" i="2"/>
  <c r="P156" i="2"/>
  <c r="O156" i="2"/>
  <c r="V155" i="2"/>
  <c r="V156" i="2" s="1"/>
  <c r="L155" i="2"/>
  <c r="L156" i="2" s="1"/>
  <c r="U151" i="2"/>
  <c r="U152" i="2" s="1"/>
  <c r="T151" i="2"/>
  <c r="T152" i="2" s="1"/>
  <c r="S151" i="2"/>
  <c r="S152" i="2" s="1"/>
  <c r="R151" i="2"/>
  <c r="R152" i="2" s="1"/>
  <c r="Q151" i="2"/>
  <c r="Q152" i="2" s="1"/>
  <c r="P151" i="2"/>
  <c r="P152" i="2" s="1"/>
  <c r="O151" i="2"/>
  <c r="O152" i="2" s="1"/>
  <c r="V150" i="2"/>
  <c r="V149" i="2"/>
  <c r="Y149" i="2"/>
  <c r="V148" i="2"/>
  <c r="Y148" i="2"/>
  <c r="V147" i="2"/>
  <c r="V146" i="2"/>
  <c r="L146" i="2"/>
  <c r="F146" i="2" s="1"/>
  <c r="V145" i="2"/>
  <c r="Y145" i="2"/>
  <c r="V144" i="2"/>
  <c r="L144" i="2"/>
  <c r="F144" i="2" s="1"/>
  <c r="W144" i="2" s="1"/>
  <c r="V143" i="2"/>
  <c r="X143" i="2"/>
  <c r="V142" i="2"/>
  <c r="V141" i="2"/>
  <c r="Z140" i="2"/>
  <c r="V139" i="2"/>
  <c r="V138" i="2"/>
  <c r="L138" i="2"/>
  <c r="X137" i="2"/>
  <c r="V137" i="2"/>
  <c r="Y137" i="2"/>
  <c r="U135" i="2"/>
  <c r="T135" i="2"/>
  <c r="S135" i="2"/>
  <c r="R135" i="2"/>
  <c r="Q135" i="2"/>
  <c r="P135" i="2"/>
  <c r="O135" i="2"/>
  <c r="V134" i="2"/>
  <c r="X134" i="2"/>
  <c r="V133" i="2"/>
  <c r="V132" i="2"/>
  <c r="Z131" i="2"/>
  <c r="V130" i="2"/>
  <c r="V125" i="2"/>
  <c r="X125" i="2"/>
  <c r="V124" i="2"/>
  <c r="V123" i="2"/>
  <c r="Y123" i="2"/>
  <c r="V122" i="2"/>
  <c r="Y122" i="2"/>
  <c r="V121" i="2"/>
  <c r="X121" i="2"/>
  <c r="V120" i="2"/>
  <c r="V119" i="2"/>
  <c r="Y119" i="2"/>
  <c r="V114" i="2"/>
  <c r="V113" i="2"/>
  <c r="V112" i="2"/>
  <c r="Y112" i="2"/>
  <c r="V111" i="2"/>
  <c r="V110" i="2"/>
  <c r="Y110" i="2"/>
  <c r="V109" i="2"/>
  <c r="V108" i="2"/>
  <c r="Y108" i="2"/>
  <c r="V107" i="2"/>
  <c r="X107" i="2"/>
  <c r="V106" i="2"/>
  <c r="Y106" i="2"/>
  <c r="V105" i="2"/>
  <c r="V104" i="2"/>
  <c r="V103" i="2"/>
  <c r="X103" i="2"/>
  <c r="V102" i="2"/>
  <c r="U100" i="2"/>
  <c r="T100" i="2"/>
  <c r="S100" i="2"/>
  <c r="R100" i="2"/>
  <c r="O100" i="2"/>
  <c r="Y99" i="2"/>
  <c r="X99" i="2"/>
  <c r="V99" i="2"/>
  <c r="V98" i="2"/>
  <c r="X98" i="2"/>
  <c r="V97" i="2"/>
  <c r="Y97" i="2"/>
  <c r="U94" i="2"/>
  <c r="T94" i="2"/>
  <c r="S94" i="2"/>
  <c r="R94" i="2"/>
  <c r="Q94" i="2"/>
  <c r="P94" i="2"/>
  <c r="O94" i="2"/>
  <c r="L94" i="2"/>
  <c r="K94" i="2"/>
  <c r="J94" i="2"/>
  <c r="I94" i="2"/>
  <c r="H94" i="2"/>
  <c r="G94" i="2"/>
  <c r="V93" i="2"/>
  <c r="V92" i="2"/>
  <c r="V91" i="2"/>
  <c r="V90" i="2"/>
  <c r="V89" i="2"/>
  <c r="Y89" i="2"/>
  <c r="V88" i="2"/>
  <c r="V87" i="2"/>
  <c r="V86" i="2"/>
  <c r="X86" i="2"/>
  <c r="V85" i="2"/>
  <c r="V84" i="2"/>
  <c r="V83" i="2"/>
  <c r="Y83" i="2"/>
  <c r="V82" i="2"/>
  <c r="Y82" i="2"/>
  <c r="V81" i="2"/>
  <c r="V80" i="2"/>
  <c r="U77" i="2"/>
  <c r="T77" i="2"/>
  <c r="S77" i="2"/>
  <c r="R77" i="2"/>
  <c r="Q77" i="2"/>
  <c r="P77" i="2"/>
  <c r="O77" i="2"/>
  <c r="K77" i="2"/>
  <c r="J77" i="2"/>
  <c r="I77" i="2"/>
  <c r="H77" i="2"/>
  <c r="G77" i="2"/>
  <c r="V76" i="2"/>
  <c r="Y76" i="2"/>
  <c r="V75" i="2"/>
  <c r="Y75" i="2"/>
  <c r="V74" i="2"/>
  <c r="Y74" i="2"/>
  <c r="V73" i="2"/>
  <c r="V72" i="2"/>
  <c r="Y72" i="2"/>
  <c r="V71" i="2"/>
  <c r="V70" i="2"/>
  <c r="X70" i="2"/>
  <c r="V69" i="2"/>
  <c r="X69" i="2"/>
  <c r="V68" i="2"/>
  <c r="Y68" i="2"/>
  <c r="V67" i="2"/>
  <c r="Y67" i="2"/>
  <c r="V66" i="2"/>
  <c r="L66" i="2"/>
  <c r="V65" i="2"/>
  <c r="U63" i="2"/>
  <c r="T63" i="2"/>
  <c r="S63" i="2"/>
  <c r="R63" i="2"/>
  <c r="Q63" i="2"/>
  <c r="P63" i="2"/>
  <c r="O63" i="2"/>
  <c r="L63" i="2"/>
  <c r="K63" i="2"/>
  <c r="J63" i="2"/>
  <c r="I63" i="2"/>
  <c r="H63" i="2"/>
  <c r="G63" i="2"/>
  <c r="V62" i="2"/>
  <c r="V61" i="2"/>
  <c r="V58" i="2"/>
  <c r="Y58" i="2"/>
  <c r="V57" i="2"/>
  <c r="V56" i="2"/>
  <c r="V55" i="2"/>
  <c r="Y55" i="2"/>
  <c r="V54" i="2"/>
  <c r="X54" i="2"/>
  <c r="V53" i="2"/>
  <c r="V52" i="2"/>
  <c r="V51" i="2"/>
  <c r="X51" i="2"/>
  <c r="V50" i="2"/>
  <c r="Y50" i="2"/>
  <c r="U48" i="2"/>
  <c r="L48" i="2"/>
  <c r="K48" i="2"/>
  <c r="J48" i="2"/>
  <c r="I48" i="2"/>
  <c r="H48" i="2"/>
  <c r="G48" i="2"/>
  <c r="V47" i="2"/>
  <c r="X47" i="2"/>
  <c r="V46" i="2"/>
  <c r="X46" i="2"/>
  <c r="V45" i="2"/>
  <c r="V44" i="2"/>
  <c r="X44" i="2"/>
  <c r="V43" i="2"/>
  <c r="V42" i="2"/>
  <c r="V41" i="2"/>
  <c r="V40" i="2"/>
  <c r="V39" i="2"/>
  <c r="X39" i="2"/>
  <c r="V38" i="2"/>
  <c r="X38" i="2"/>
  <c r="V37" i="2"/>
  <c r="V36" i="2"/>
  <c r="Y36" i="2"/>
  <c r="V35" i="2"/>
  <c r="V34" i="2"/>
  <c r="V33" i="2"/>
  <c r="L31" i="2"/>
  <c r="K31" i="2"/>
  <c r="J31" i="2"/>
  <c r="I31" i="2"/>
  <c r="H31" i="2"/>
  <c r="G31" i="2"/>
  <c r="V30" i="2"/>
  <c r="V29" i="2"/>
  <c r="Y28" i="2"/>
  <c r="X28" i="2"/>
  <c r="V28" i="2"/>
  <c r="V27" i="2"/>
  <c r="K25" i="2"/>
  <c r="V24" i="2"/>
  <c r="Y24" i="2"/>
  <c r="V23" i="2"/>
  <c r="L23" i="2"/>
  <c r="V22" i="2"/>
  <c r="X22" i="2"/>
  <c r="V21" i="2"/>
  <c r="X21" i="2"/>
  <c r="L19" i="2"/>
  <c r="K19" i="2"/>
  <c r="J19" i="2"/>
  <c r="I19" i="2"/>
  <c r="H19" i="2"/>
  <c r="G19" i="2"/>
  <c r="V18" i="2"/>
  <c r="V17" i="2"/>
  <c r="V16" i="2"/>
  <c r="Y16" i="2"/>
  <c r="V15" i="2"/>
  <c r="Y15" i="2"/>
  <c r="V14" i="2"/>
  <c r="V13" i="2"/>
  <c r="Y13" i="2"/>
  <c r="V12" i="2"/>
  <c r="X12" i="2"/>
  <c r="V11" i="2"/>
  <c r="X11" i="2"/>
  <c r="X10" i="2"/>
  <c r="V10" i="2"/>
  <c r="V9" i="2"/>
  <c r="Y9" i="2"/>
  <c r="V8" i="2"/>
  <c r="Y8" i="2"/>
  <c r="V7" i="2"/>
  <c r="Y7" i="2"/>
  <c r="V6" i="2"/>
  <c r="X6" i="2"/>
  <c r="L4" i="2"/>
  <c r="K4" i="2"/>
  <c r="V3" i="2"/>
  <c r="V2" i="2"/>
  <c r="C25" i="1"/>
  <c r="C27" i="1" s="1"/>
  <c r="D24" i="1"/>
  <c r="J23" i="1"/>
  <c r="D23" i="1"/>
  <c r="J22" i="1"/>
  <c r="D22" i="1"/>
  <c r="J21" i="1"/>
  <c r="D21" i="1"/>
  <c r="J20" i="1"/>
  <c r="D20" i="1"/>
  <c r="D19" i="1"/>
  <c r="J18" i="1"/>
  <c r="D18" i="1"/>
  <c r="J17" i="1"/>
  <c r="D17" i="1"/>
  <c r="D16" i="1"/>
  <c r="J15" i="1"/>
  <c r="D15" i="1"/>
  <c r="J14" i="1"/>
  <c r="D14" i="1"/>
  <c r="J13" i="1"/>
  <c r="D13" i="1"/>
  <c r="J12" i="1"/>
  <c r="D12" i="1"/>
  <c r="D11" i="1"/>
  <c r="J10" i="1"/>
  <c r="D10" i="1"/>
  <c r="J9" i="1"/>
  <c r="D9" i="1"/>
  <c r="J8" i="1"/>
  <c r="D8" i="1"/>
  <c r="J7" i="1"/>
  <c r="D7" i="1"/>
  <c r="N5" i="1"/>
  <c r="J19" i="1"/>
  <c r="C66" i="3" l="1"/>
  <c r="B66" i="3"/>
  <c r="V59" i="2"/>
  <c r="R153" i="2"/>
  <c r="V216" i="2"/>
  <c r="V63" i="2"/>
  <c r="V171" i="2"/>
  <c r="V4" i="2"/>
  <c r="J95" i="2"/>
  <c r="K95" i="2"/>
  <c r="K222" i="2" s="1"/>
  <c r="V19" i="2"/>
  <c r="L151" i="2"/>
  <c r="L152" i="2" s="1"/>
  <c r="L153" i="2" s="1"/>
  <c r="L167" i="2"/>
  <c r="Y146" i="2"/>
  <c r="W146" i="2"/>
  <c r="G95" i="2"/>
  <c r="I95" i="2"/>
  <c r="H95" i="2"/>
  <c r="X146" i="2"/>
  <c r="L25" i="2"/>
  <c r="N155" i="2"/>
  <c r="Z28" i="2"/>
  <c r="X207" i="2"/>
  <c r="X208" i="2" s="1"/>
  <c r="Y193" i="2"/>
  <c r="Y22" i="2"/>
  <c r="X203" i="2"/>
  <c r="Y12" i="2"/>
  <c r="X18" i="2"/>
  <c r="X149" i="2"/>
  <c r="Z149" i="2" s="1"/>
  <c r="X88" i="2"/>
  <c r="Z99" i="2"/>
  <c r="Y121" i="2"/>
  <c r="X145" i="2"/>
  <c r="Z145" i="2" s="1"/>
  <c r="X147" i="2"/>
  <c r="X165" i="2"/>
  <c r="Y203" i="2"/>
  <c r="Y51" i="2"/>
  <c r="Z51" i="2" s="1"/>
  <c r="X92" i="2"/>
  <c r="X139" i="2"/>
  <c r="X181" i="2"/>
  <c r="X14" i="2"/>
  <c r="V25" i="2"/>
  <c r="V31" i="2" s="1"/>
  <c r="Y92" i="2"/>
  <c r="X110" i="2"/>
  <c r="Z110" i="2" s="1"/>
  <c r="Y139" i="2"/>
  <c r="X163" i="2"/>
  <c r="V179" i="2"/>
  <c r="O95" i="2"/>
  <c r="O222" i="2" s="1"/>
  <c r="Y107" i="2"/>
  <c r="Y143" i="2"/>
  <c r="L77" i="2"/>
  <c r="Y134" i="2"/>
  <c r="X193" i="2"/>
  <c r="V175" i="2"/>
  <c r="X8" i="2"/>
  <c r="Z8" i="2" s="1"/>
  <c r="X17" i="2"/>
  <c r="Y70" i="2"/>
  <c r="Y102" i="2"/>
  <c r="X111" i="2"/>
  <c r="V128" i="2"/>
  <c r="X122" i="2"/>
  <c r="X133" i="2"/>
  <c r="X166" i="2"/>
  <c r="V205" i="2"/>
  <c r="X201" i="2"/>
  <c r="X102" i="2"/>
  <c r="X36" i="2"/>
  <c r="X73" i="2"/>
  <c r="Y111" i="2"/>
  <c r="X148" i="2"/>
  <c r="X188" i="2"/>
  <c r="X199" i="2"/>
  <c r="X210" i="2"/>
  <c r="X158" i="2"/>
  <c r="Y2" i="2"/>
  <c r="X15" i="2"/>
  <c r="X55" i="2"/>
  <c r="Y98" i="2"/>
  <c r="Y100" i="2" s="1"/>
  <c r="X170" i="2"/>
  <c r="Z170" i="2" s="1"/>
  <c r="V186" i="2"/>
  <c r="X183" i="2"/>
  <c r="Z183" i="2" s="1"/>
  <c r="Y199" i="2"/>
  <c r="X213" i="2"/>
  <c r="Z213" i="2" s="1"/>
  <c r="X75" i="2"/>
  <c r="V194" i="2"/>
  <c r="X40" i="2"/>
  <c r="X43" i="2"/>
  <c r="X58" i="2"/>
  <c r="X71" i="2"/>
  <c r="X106" i="2"/>
  <c r="S153" i="2"/>
  <c r="Y40" i="2"/>
  <c r="Y71" i="2"/>
  <c r="X74" i="2"/>
  <c r="Y103" i="2"/>
  <c r="Z137" i="2"/>
  <c r="X82" i="2"/>
  <c r="Y88" i="2"/>
  <c r="Y44" i="2"/>
  <c r="Z44" i="2" s="1"/>
  <c r="X56" i="2"/>
  <c r="X87" i="2"/>
  <c r="T153" i="2"/>
  <c r="Y162" i="2"/>
  <c r="X80" i="2"/>
  <c r="X7" i="2"/>
  <c r="P95" i="2"/>
  <c r="P222" i="2" s="1"/>
  <c r="T95" i="2"/>
  <c r="T222" i="2" s="1"/>
  <c r="X35" i="2"/>
  <c r="Y47" i="2"/>
  <c r="Y87" i="2"/>
  <c r="U153" i="2"/>
  <c r="V167" i="2"/>
  <c r="X182" i="2"/>
  <c r="Z182" i="2" s="1"/>
  <c r="X198" i="2"/>
  <c r="Z198" i="2" s="1"/>
  <c r="X202" i="2"/>
  <c r="X214" i="2"/>
  <c r="Y39" i="2"/>
  <c r="X50" i="2"/>
  <c r="Y65" i="2"/>
  <c r="X67" i="2"/>
  <c r="X83" i="2"/>
  <c r="X177" i="2"/>
  <c r="X189" i="2"/>
  <c r="Y214" i="2"/>
  <c r="V135" i="2"/>
  <c r="V151" i="2"/>
  <c r="Y177" i="2"/>
  <c r="Y179" i="2" s="1"/>
  <c r="Q153" i="2"/>
  <c r="X2" i="2"/>
  <c r="V48" i="2"/>
  <c r="V77" i="2"/>
  <c r="V117" i="2"/>
  <c r="D25" i="1"/>
  <c r="D27" i="1" s="1"/>
  <c r="B304" i="3"/>
  <c r="C304" i="3"/>
  <c r="C50" i="3"/>
  <c r="G76" i="3"/>
  <c r="B50" i="3"/>
  <c r="B31" i="3"/>
  <c r="O153" i="2"/>
  <c r="P153" i="2"/>
  <c r="S95" i="2"/>
  <c r="S222" i="2" s="1"/>
  <c r="Q95" i="2"/>
  <c r="Q222" i="2" s="1"/>
  <c r="R95" i="2"/>
  <c r="R222" i="2" s="1"/>
  <c r="U95" i="2"/>
  <c r="U222" i="2" s="1"/>
  <c r="Y142" i="2"/>
  <c r="X142" i="2"/>
  <c r="Y144" i="2"/>
  <c r="Y191" i="2"/>
  <c r="X191" i="2"/>
  <c r="Y21" i="2"/>
  <c r="Y27" i="2"/>
  <c r="Y34" i="2"/>
  <c r="Y35" i="2"/>
  <c r="X37" i="2"/>
  <c r="Y42" i="2"/>
  <c r="Y43" i="2"/>
  <c r="X45" i="2"/>
  <c r="Y56" i="2"/>
  <c r="X65" i="2"/>
  <c r="Y80" i="2"/>
  <c r="Y120" i="2"/>
  <c r="X120" i="2"/>
  <c r="Y124" i="2"/>
  <c r="X124" i="2"/>
  <c r="Y169" i="2"/>
  <c r="Y171" i="2" s="1"/>
  <c r="X169" i="2"/>
  <c r="X97" i="2"/>
  <c r="X100" i="2" s="1"/>
  <c r="X104" i="2"/>
  <c r="X144" i="2"/>
  <c r="Y173" i="2"/>
  <c r="X173" i="2"/>
  <c r="X175" i="2" s="1"/>
  <c r="W175" i="2"/>
  <c r="Y196" i="2"/>
  <c r="X196" i="2"/>
  <c r="Y10" i="2"/>
  <c r="Z10" i="2" s="1"/>
  <c r="Y11" i="2"/>
  <c r="X13" i="2"/>
  <c r="Y17" i="2"/>
  <c r="Y18" i="2"/>
  <c r="Y37" i="2"/>
  <c r="Y45" i="2"/>
  <c r="Y57" i="2"/>
  <c r="X57" i="2"/>
  <c r="X62" i="2"/>
  <c r="Y69" i="2"/>
  <c r="X72" i="2"/>
  <c r="Y81" i="2"/>
  <c r="X81" i="2"/>
  <c r="X89" i="2"/>
  <c r="X114" i="2"/>
  <c r="Y200" i="2"/>
  <c r="X200" i="2"/>
  <c r="Y192" i="2"/>
  <c r="X192" i="2"/>
  <c r="X27" i="2"/>
  <c r="X29" i="2"/>
  <c r="X34" i="2"/>
  <c r="X42" i="2"/>
  <c r="X52" i="2"/>
  <c r="Y61" i="2"/>
  <c r="Y62" i="2"/>
  <c r="X84" i="2"/>
  <c r="Y104" i="2"/>
  <c r="Y114" i="2"/>
  <c r="Y204" i="2"/>
  <c r="X204" i="2"/>
  <c r="Y218" i="2"/>
  <c r="Y219" i="2" s="1"/>
  <c r="W219" i="2"/>
  <c r="X218" i="2"/>
  <c r="X219" i="2" s="1"/>
  <c r="X112" i="2"/>
  <c r="X3" i="2"/>
  <c r="Y29" i="2"/>
  <c r="X33" i="2"/>
  <c r="Y38" i="2"/>
  <c r="X41" i="2"/>
  <c r="Y46" i="2"/>
  <c r="Y52" i="2"/>
  <c r="Y84" i="2"/>
  <c r="X91" i="2"/>
  <c r="X93" i="2"/>
  <c r="Y93" i="2"/>
  <c r="Y105" i="2"/>
  <c r="X105" i="2"/>
  <c r="Y109" i="2"/>
  <c r="X109" i="2"/>
  <c r="Y132" i="2"/>
  <c r="X132" i="2"/>
  <c r="X141" i="2"/>
  <c r="Y91" i="2"/>
  <c r="X119" i="2"/>
  <c r="X123" i="2"/>
  <c r="X108" i="2"/>
  <c r="Y3" i="2"/>
  <c r="Y6" i="2"/>
  <c r="X9" i="2"/>
  <c r="Y14" i="2"/>
  <c r="X16" i="2"/>
  <c r="X24" i="2"/>
  <c r="Y30" i="2"/>
  <c r="X30" i="2"/>
  <c r="Y33" i="2"/>
  <c r="Y41" i="2"/>
  <c r="Y53" i="2"/>
  <c r="X53" i="2"/>
  <c r="Y54" i="2"/>
  <c r="Y59" i="2" s="1"/>
  <c r="X61" i="2"/>
  <c r="X68" i="2"/>
  <c r="Y73" i="2"/>
  <c r="X76" i="2"/>
  <c r="V94" i="2"/>
  <c r="Y85" i="2"/>
  <c r="X85" i="2"/>
  <c r="Y86" i="2"/>
  <c r="Z86" i="2" s="1"/>
  <c r="Y125" i="2"/>
  <c r="Y141" i="2"/>
  <c r="Y150" i="2"/>
  <c r="X150" i="2"/>
  <c r="Y164" i="2"/>
  <c r="X164" i="2"/>
  <c r="Y215" i="2"/>
  <c r="X215" i="2"/>
  <c r="J16" i="1"/>
  <c r="J24" i="1"/>
  <c r="Y90" i="2"/>
  <c r="X90" i="2"/>
  <c r="V100" i="2"/>
  <c r="Y113" i="2"/>
  <c r="X113" i="2"/>
  <c r="Y130" i="2"/>
  <c r="X130" i="2"/>
  <c r="J11" i="1"/>
  <c r="Y160" i="2"/>
  <c r="X160" i="2"/>
  <c r="Y184" i="2"/>
  <c r="X184" i="2"/>
  <c r="Y207" i="2"/>
  <c r="Y208" i="2" s="1"/>
  <c r="C31" i="3"/>
  <c r="P300" i="2"/>
  <c r="Y188" i="2"/>
  <c r="Y211" i="2"/>
  <c r="X211" i="2"/>
  <c r="Y133" i="2"/>
  <c r="Y147" i="2"/>
  <c r="Y161" i="2"/>
  <c r="Y165" i="2"/>
  <c r="Y174" i="2"/>
  <c r="Y181" i="2"/>
  <c r="Y197" i="2"/>
  <c r="Z197" i="2" s="1"/>
  <c r="Y201" i="2"/>
  <c r="Y212" i="2"/>
  <c r="X178" i="2"/>
  <c r="X190" i="2"/>
  <c r="X59" i="2" l="1"/>
  <c r="Z139" i="2"/>
  <c r="Y216" i="2"/>
  <c r="Z73" i="2"/>
  <c r="Z146" i="2"/>
  <c r="Z165" i="2"/>
  <c r="Z92" i="2"/>
  <c r="X179" i="2"/>
  <c r="X216" i="2"/>
  <c r="Z111" i="2"/>
  <c r="L95" i="2"/>
  <c r="F138" i="2"/>
  <c r="F151" i="2" s="1"/>
  <c r="N151" i="2"/>
  <c r="N152" i="2" s="1"/>
  <c r="N153" i="2" s="1"/>
  <c r="N167" i="2"/>
  <c r="Z56" i="2"/>
  <c r="F155" i="2"/>
  <c r="F156" i="2" s="1"/>
  <c r="N156" i="2"/>
  <c r="Z88" i="2"/>
  <c r="F66" i="2"/>
  <c r="F77" i="2" s="1"/>
  <c r="F95" i="2" s="1"/>
  <c r="N77" i="2"/>
  <c r="F23" i="2"/>
  <c r="F25" i="2" s="1"/>
  <c r="N25" i="2"/>
  <c r="J25" i="1"/>
  <c r="J27" i="1" s="1"/>
  <c r="Z201" i="2"/>
  <c r="Z203" i="2"/>
  <c r="Z143" i="2"/>
  <c r="Z158" i="2"/>
  <c r="Z22" i="2"/>
  <c r="X4" i="2"/>
  <c r="Z15" i="2"/>
  <c r="Z210" i="2"/>
  <c r="Z193" i="2"/>
  <c r="X171" i="2"/>
  <c r="Z161" i="2"/>
  <c r="Z147" i="2"/>
  <c r="Z134" i="2"/>
  <c r="Z103" i="2"/>
  <c r="Z102" i="2"/>
  <c r="Z58" i="2"/>
  <c r="Z35" i="2"/>
  <c r="Z14" i="2"/>
  <c r="Z125" i="2"/>
  <c r="Z57" i="2"/>
  <c r="D253" i="3"/>
  <c r="Z67" i="2"/>
  <c r="Z29" i="2"/>
  <c r="Z108" i="2"/>
  <c r="Z47" i="2"/>
  <c r="Z18" i="2"/>
  <c r="Z191" i="2"/>
  <c r="Z122" i="2"/>
  <c r="Z181" i="2"/>
  <c r="Z30" i="2"/>
  <c r="Z84" i="2"/>
  <c r="Z121" i="2"/>
  <c r="Z177" i="2"/>
  <c r="Z65" i="2"/>
  <c r="Z80" i="2"/>
  <c r="Z82" i="2"/>
  <c r="Z40" i="2"/>
  <c r="Z163" i="2"/>
  <c r="Z17" i="2"/>
  <c r="Z39" i="2"/>
  <c r="Z107" i="2"/>
  <c r="Z166" i="2"/>
  <c r="Z74" i="2"/>
  <c r="Z12" i="2"/>
  <c r="Z174" i="2"/>
  <c r="Z160" i="2"/>
  <c r="Z112" i="2"/>
  <c r="W19" i="2"/>
  <c r="W171" i="2"/>
  <c r="Z2" i="2"/>
  <c r="Z202" i="2"/>
  <c r="Z54" i="2"/>
  <c r="Z164" i="2"/>
  <c r="Z76" i="2"/>
  <c r="Z53" i="2"/>
  <c r="Z24" i="2"/>
  <c r="Z196" i="2"/>
  <c r="W117" i="2"/>
  <c r="Z199" i="2"/>
  <c r="Z70" i="2"/>
  <c r="Y128" i="2"/>
  <c r="Y4" i="2"/>
  <c r="Z105" i="2"/>
  <c r="Z106" i="2"/>
  <c r="Z71" i="2"/>
  <c r="X19" i="2"/>
  <c r="Z46" i="2"/>
  <c r="Z55" i="2"/>
  <c r="Y205" i="2"/>
  <c r="X194" i="2"/>
  <c r="Z169" i="2"/>
  <c r="Z171" i="2" s="1"/>
  <c r="W194" i="2"/>
  <c r="X135" i="2"/>
  <c r="Z123" i="2"/>
  <c r="Z93" i="2"/>
  <c r="W100" i="2"/>
  <c r="Z37" i="2"/>
  <c r="Z11" i="2"/>
  <c r="Z124" i="2"/>
  <c r="W186" i="2"/>
  <c r="Z7" i="2"/>
  <c r="Z190" i="2"/>
  <c r="Y135" i="2"/>
  <c r="Z98" i="2"/>
  <c r="Z113" i="2"/>
  <c r="Z215" i="2"/>
  <c r="Z150" i="2"/>
  <c r="Z87" i="2"/>
  <c r="Z83" i="2"/>
  <c r="Z162" i="2"/>
  <c r="Z36" i="2"/>
  <c r="Z141" i="2"/>
  <c r="Z178" i="2"/>
  <c r="Z114" i="2"/>
  <c r="Z133" i="2"/>
  <c r="W128" i="2"/>
  <c r="X186" i="2"/>
  <c r="X63" i="2"/>
  <c r="X128" i="2"/>
  <c r="Z3" i="2"/>
  <c r="Z81" i="2"/>
  <c r="Z144" i="2"/>
  <c r="Z43" i="2"/>
  <c r="Z75" i="2"/>
  <c r="Z214" i="2"/>
  <c r="Z148" i="2"/>
  <c r="Y117" i="2"/>
  <c r="V152" i="2"/>
  <c r="V153" i="2" s="1"/>
  <c r="Z91" i="2"/>
  <c r="Z34" i="2"/>
  <c r="Z62" i="2"/>
  <c r="Y19" i="2"/>
  <c r="Z27" i="2"/>
  <c r="Z212" i="2"/>
  <c r="Z50" i="2"/>
  <c r="Z59" i="2" s="1"/>
  <c r="Z132" i="2"/>
  <c r="Z200" i="2"/>
  <c r="Y175" i="2"/>
  <c r="V95" i="2"/>
  <c r="W94" i="2"/>
  <c r="Z45" i="2"/>
  <c r="Z189" i="2"/>
  <c r="Y194" i="2"/>
  <c r="Y186" i="2"/>
  <c r="Z211" i="2"/>
  <c r="Z184" i="2"/>
  <c r="Z90" i="2"/>
  <c r="W179" i="2"/>
  <c r="X94" i="2"/>
  <c r="Z16" i="2"/>
  <c r="Z109" i="2"/>
  <c r="Z38" i="2"/>
  <c r="Z204" i="2"/>
  <c r="Z104" i="2"/>
  <c r="W205" i="2"/>
  <c r="W4" i="2"/>
  <c r="Z52" i="2"/>
  <c r="X117" i="2"/>
  <c r="Z192" i="2"/>
  <c r="Z72" i="2"/>
  <c r="Z42" i="2"/>
  <c r="Z13" i="2"/>
  <c r="X205" i="2"/>
  <c r="C67" i="3"/>
  <c r="G78" i="3" s="1"/>
  <c r="G80" i="3" s="1"/>
  <c r="B67" i="3"/>
  <c r="B305" i="3" s="1"/>
  <c r="B313" i="3" s="1"/>
  <c r="Z85" i="2"/>
  <c r="Y63" i="2"/>
  <c r="Z89" i="2"/>
  <c r="Z69" i="2"/>
  <c r="Z120" i="2"/>
  <c r="Z9" i="2"/>
  <c r="Z6" i="2"/>
  <c r="Z68" i="2"/>
  <c r="Z188" i="2"/>
  <c r="Z173" i="2"/>
  <c r="Z61" i="2"/>
  <c r="W63" i="2"/>
  <c r="Y48" i="2"/>
  <c r="X48" i="2"/>
  <c r="Z218" i="2"/>
  <c r="Z219" i="2" s="1"/>
  <c r="Y94" i="2"/>
  <c r="Z142" i="2"/>
  <c r="W48" i="2"/>
  <c r="Z33" i="2"/>
  <c r="Q300" i="2"/>
  <c r="Q301" i="2"/>
  <c r="Z207" i="2"/>
  <c r="Z208" i="2" s="1"/>
  <c r="W135" i="2"/>
  <c r="Z130" i="2"/>
  <c r="Z41" i="2"/>
  <c r="Z119" i="2"/>
  <c r="Z21" i="2"/>
  <c r="Z97" i="2"/>
  <c r="D303" i="3" l="1"/>
  <c r="Z216" i="2"/>
  <c r="Z186" i="2"/>
  <c r="W155" i="2"/>
  <c r="W156" i="2" s="1"/>
  <c r="Y155" i="2"/>
  <c r="Y156" i="2" s="1"/>
  <c r="X155" i="2"/>
  <c r="X156" i="2" s="1"/>
  <c r="W23" i="2"/>
  <c r="X23" i="2"/>
  <c r="X25" i="2" s="1"/>
  <c r="X31" i="2" s="1"/>
  <c r="Y23" i="2"/>
  <c r="Y25" i="2" s="1"/>
  <c r="Y31" i="2" s="1"/>
  <c r="W159" i="2"/>
  <c r="Y159" i="2"/>
  <c r="Y167" i="2" s="1"/>
  <c r="X159" i="2"/>
  <c r="X167" i="2" s="1"/>
  <c r="N95" i="2"/>
  <c r="Y66" i="2"/>
  <c r="Y77" i="2" s="1"/>
  <c r="W66" i="2"/>
  <c r="X66" i="2"/>
  <c r="X77" i="2" s="1"/>
  <c r="W138" i="2"/>
  <c r="X138" i="2"/>
  <c r="Y138" i="2"/>
  <c r="Y151" i="2" s="1"/>
  <c r="Y152" i="2" s="1"/>
  <c r="Y153" i="2" s="1"/>
  <c r="Z175" i="2"/>
  <c r="L222" i="2"/>
  <c r="Z179" i="2"/>
  <c r="Z135" i="2"/>
  <c r="Z100" i="2"/>
  <c r="Z205" i="2"/>
  <c r="Z4" i="2"/>
  <c r="Z63" i="2"/>
  <c r="Z128" i="2"/>
  <c r="Z94" i="2"/>
  <c r="Z117" i="2"/>
  <c r="Z194" i="2"/>
  <c r="C305" i="3"/>
  <c r="C313" i="3" s="1"/>
  <c r="V222" i="2"/>
  <c r="Z48" i="2"/>
  <c r="Z19" i="2"/>
  <c r="H78" i="3" l="1"/>
  <c r="Z155" i="2"/>
  <c r="Z156" i="2" s="1"/>
  <c r="Y95" i="2"/>
  <c r="Y222" i="2" s="1"/>
  <c r="X95" i="2"/>
  <c r="F152" i="2"/>
  <c r="F153" i="2" s="1"/>
  <c r="X151" i="2"/>
  <c r="Z66" i="2"/>
  <c r="Z77" i="2" s="1"/>
  <c r="W77" i="2"/>
  <c r="W151" i="2"/>
  <c r="Z138" i="2"/>
  <c r="Z151" i="2" s="1"/>
  <c r="Z152" i="2" s="1"/>
  <c r="Z153" i="2" s="1"/>
  <c r="Z159" i="2"/>
  <c r="Z167" i="2" s="1"/>
  <c r="W167" i="2"/>
  <c r="Z23" i="2"/>
  <c r="Z25" i="2" s="1"/>
  <c r="Z31" i="2" s="1"/>
  <c r="W25" i="2"/>
  <c r="W31" i="2" s="1"/>
  <c r="Z95" i="2" l="1"/>
  <c r="Z222" i="2" s="1"/>
  <c r="W95" i="2"/>
  <c r="X152" i="2"/>
  <c r="X153" i="2" s="1"/>
  <c r="H74" i="3"/>
  <c r="W152" i="2"/>
  <c r="W153" i="2" s="1"/>
  <c r="X222" i="2"/>
  <c r="H72" i="3" l="1"/>
  <c r="W222" i="2"/>
  <c r="F226" i="2"/>
  <c r="D304" i="3"/>
  <c r="D305" i="3" s="1"/>
  <c r="H73" i="3"/>
  <c r="D313" i="3" l="1"/>
  <c r="D307" i="3"/>
  <c r="H76" i="3"/>
  <c r="H80" i="3" s="1"/>
</calcChain>
</file>

<file path=xl/sharedStrings.xml><?xml version="1.0" encoding="utf-8"?>
<sst xmlns="http://schemas.openxmlformats.org/spreadsheetml/2006/main" count="1592" uniqueCount="635">
  <si>
    <t>James Island Charter High School</t>
  </si>
  <si>
    <t>EFA FUNDING</t>
  </si>
  <si>
    <t>Estimated FY-21/22 Per Pupil</t>
  </si>
  <si>
    <t>CCSD Projection:</t>
  </si>
  <si>
    <t>Projection Increase</t>
  </si>
  <si>
    <t>Student Classification</t>
  </si>
  <si>
    <t>Weight</t>
  </si>
  <si>
    <t>WPU</t>
  </si>
  <si>
    <t>High School</t>
  </si>
  <si>
    <t xml:space="preserve">JICH Projection </t>
  </si>
  <si>
    <t>EM</t>
  </si>
  <si>
    <t>LD/DD/OHI</t>
  </si>
  <si>
    <t>TM/PMD</t>
  </si>
  <si>
    <t>EH</t>
  </si>
  <si>
    <t>OH</t>
  </si>
  <si>
    <t>VH</t>
  </si>
  <si>
    <t>Autistic</t>
  </si>
  <si>
    <t>HH</t>
  </si>
  <si>
    <t>SpH</t>
  </si>
  <si>
    <t>HO (homebound)</t>
  </si>
  <si>
    <t>TBI</t>
  </si>
  <si>
    <t>Vocational</t>
  </si>
  <si>
    <t>Gifted/Talented (GT)/High Achieving</t>
  </si>
  <si>
    <t>Academic Assistance (AA)</t>
  </si>
  <si>
    <t>Dual Credit Enrollment (DE)</t>
  </si>
  <si>
    <t>Limited English Proficiency (LEP)</t>
  </si>
  <si>
    <t>Pupils in Poverty (PIP)</t>
  </si>
  <si>
    <t>TOTAL STUDENTS</t>
  </si>
  <si>
    <t>Projected FY-18/19 EFA Funding</t>
  </si>
  <si>
    <t>Function</t>
  </si>
  <si>
    <t>Object</t>
  </si>
  <si>
    <t>Position</t>
  </si>
  <si>
    <t>Name</t>
  </si>
  <si>
    <t>DBM</t>
  </si>
  <si>
    <t>STEP</t>
  </si>
  <si>
    <t>DAYS HIRED</t>
  </si>
  <si>
    <t>FY-21 Salary</t>
  </si>
  <si>
    <t>FY-22 Salary</t>
  </si>
  <si>
    <t>Hourly/Daily Rate</t>
  </si>
  <si>
    <t>NBC</t>
  </si>
  <si>
    <t>Academic / Dept Chair</t>
  </si>
  <si>
    <t>Tutoring</t>
  </si>
  <si>
    <t xml:space="preserve">Art </t>
  </si>
  <si>
    <t>Club</t>
  </si>
  <si>
    <t>Other Stipends</t>
  </si>
  <si>
    <t>FY-22 Health</t>
  </si>
  <si>
    <t>Notes</t>
  </si>
  <si>
    <t xml:space="preserve">114 - High School </t>
  </si>
  <si>
    <t>110 - Regular Salaries</t>
  </si>
  <si>
    <t>Instructional Coach</t>
  </si>
  <si>
    <t>BALLARD, SHELI</t>
  </si>
  <si>
    <t>MSTR</t>
  </si>
  <si>
    <t>Testing Coordinator/Coach</t>
  </si>
  <si>
    <t xml:space="preserve">Total: 2.0 </t>
  </si>
  <si>
    <t>English teacher</t>
  </si>
  <si>
    <t>BROOME, KERISE</t>
  </si>
  <si>
    <t>MS30</t>
  </si>
  <si>
    <t>English Teacher</t>
  </si>
  <si>
    <t>FARRIER, KIMBERLY</t>
  </si>
  <si>
    <t xml:space="preserve">BURGESS, SUSAN </t>
  </si>
  <si>
    <t>GARVIN, BRIAN</t>
  </si>
  <si>
    <t>IVERSON, LINDSEY</t>
  </si>
  <si>
    <t>MORABITO, LEIGH</t>
  </si>
  <si>
    <t>SCRUGGS, CHARITY</t>
  </si>
  <si>
    <t>111 - Regular Salaries</t>
  </si>
  <si>
    <t>BACH</t>
  </si>
  <si>
    <t>WALPOLE, GUILFORD</t>
  </si>
  <si>
    <t>WECKENMAN, MICHAEL</t>
  </si>
  <si>
    <t>WILSON, TAMMI</t>
  </si>
  <si>
    <t>WOODY, ROBERT</t>
  </si>
  <si>
    <t>Total: 14</t>
  </si>
  <si>
    <t>Fine arts teacher</t>
  </si>
  <si>
    <t>BATEMAN, CHARLES</t>
  </si>
  <si>
    <t>Music/Band Director</t>
  </si>
  <si>
    <t>BOWLES, GRETCHEN</t>
  </si>
  <si>
    <t>D</t>
  </si>
  <si>
    <t>Asst Band Director</t>
  </si>
  <si>
    <t>SHERMAN, JOSHUA (0.5 FTE)</t>
  </si>
  <si>
    <t>QUINN, ANDREA</t>
  </si>
  <si>
    <t xml:space="preserve">Total: 3.5 </t>
  </si>
  <si>
    <t>GUNTHER, ELIZABETH</t>
  </si>
  <si>
    <t>Arnett, Michael</t>
  </si>
  <si>
    <t>PURVIS, ANNIE</t>
  </si>
  <si>
    <t>READ, ELIZABETH</t>
  </si>
  <si>
    <t>Total: 4.0</t>
  </si>
  <si>
    <t>Math teacher</t>
  </si>
  <si>
    <t>COHN, KIMBERLY</t>
  </si>
  <si>
    <t>TEED, KIMBERLY</t>
  </si>
  <si>
    <t>COWART, LORI</t>
  </si>
  <si>
    <t>DUPRE, KAREN</t>
  </si>
  <si>
    <t>BC18</t>
  </si>
  <si>
    <t xml:space="preserve">EDWARDS, KELLY </t>
  </si>
  <si>
    <t>Name  Change</t>
  </si>
  <si>
    <t>FENNESSEY, THOMAS</t>
  </si>
  <si>
    <t>GILBERT, MATTHEW</t>
  </si>
  <si>
    <t>LEE, DAVID</t>
  </si>
  <si>
    <t>LINDER, GRACE</t>
  </si>
  <si>
    <t>MAXWELL, DANNY</t>
  </si>
  <si>
    <t>MAYNARD, CARLY</t>
  </si>
  <si>
    <t>Name Change</t>
  </si>
  <si>
    <t>SANDERS, NICOLE</t>
  </si>
  <si>
    <t>Total: 15</t>
  </si>
  <si>
    <t>Modern Languages</t>
  </si>
  <si>
    <t>ARTHUR, TRACEY</t>
  </si>
  <si>
    <t>DCTR</t>
  </si>
  <si>
    <t>THORNTON, SARA</t>
  </si>
  <si>
    <t>BAINBRIDGE, SARAH</t>
  </si>
  <si>
    <t>BROWN, VAIANA</t>
  </si>
  <si>
    <t>CARSON, EDMUND</t>
  </si>
  <si>
    <t>LOWMAN, CAMILLE</t>
  </si>
  <si>
    <t>TUCKER, STEVEN</t>
  </si>
  <si>
    <t>BRUNS, MARY</t>
  </si>
  <si>
    <t xml:space="preserve">ASL </t>
  </si>
  <si>
    <t>Total: 10</t>
  </si>
  <si>
    <t>ROTC</t>
  </si>
  <si>
    <t>Spears</t>
  </si>
  <si>
    <t xml:space="preserve">REMINGTON, SCOTT </t>
  </si>
  <si>
    <t>Total: 2</t>
  </si>
  <si>
    <t>Science teacher</t>
  </si>
  <si>
    <t>BOLUS, CHRISTOPHER</t>
  </si>
  <si>
    <t xml:space="preserve">BARRETT, DIANA </t>
  </si>
  <si>
    <t>COX, REGINA</t>
  </si>
  <si>
    <t>CRAWFORD, MICHAEL</t>
  </si>
  <si>
    <t>EPPS, CHRISTOPHER</t>
  </si>
  <si>
    <t>EVANS, JODY</t>
  </si>
  <si>
    <t>HEPNER, MICHAEL</t>
  </si>
  <si>
    <t>LYLES, TRACY</t>
  </si>
  <si>
    <t>MANGUM, SANDRA</t>
  </si>
  <si>
    <t>REEVES, ABIGAIL</t>
  </si>
  <si>
    <t>SCHOEN, JACLYN</t>
  </si>
  <si>
    <t>Total: 12</t>
  </si>
  <si>
    <t>Social Studies teacher</t>
  </si>
  <si>
    <t>BEYOGLIDES, EMILY</t>
  </si>
  <si>
    <t>CELLARS, ALISON</t>
  </si>
  <si>
    <t>CROCKER, EMILY</t>
  </si>
  <si>
    <t>DAVIS, NOLAN</t>
  </si>
  <si>
    <t>HILYER, RANDALL</t>
  </si>
  <si>
    <t xml:space="preserve">HOFFMAN, JENNIFER </t>
  </si>
  <si>
    <t>HOWARD, LINDSAY</t>
  </si>
  <si>
    <t>MCKOY, JAMES JAMAR</t>
  </si>
  <si>
    <t>MORRIS, JEREMY</t>
  </si>
  <si>
    <t>ROBINSON, MICHAEL</t>
  </si>
  <si>
    <t>SPIVEY, MATTHEW</t>
  </si>
  <si>
    <t>WAKEFIELD, JENNIFER</t>
  </si>
  <si>
    <t>WEBSTER, GREGORY</t>
  </si>
  <si>
    <t>WILLIAMS, LAURA</t>
  </si>
  <si>
    <t>Total:</t>
  </si>
  <si>
    <t>115 - Teacher Assistant/Clerical Salaries</t>
  </si>
  <si>
    <t>ISS</t>
  </si>
  <si>
    <t>PINDER, DONNA</t>
  </si>
  <si>
    <t>B21</t>
  </si>
  <si>
    <t>Teacher Assistant</t>
  </si>
  <si>
    <t>JENKINS, MARTHA</t>
  </si>
  <si>
    <t>Tardy Sweep TA</t>
  </si>
  <si>
    <t>WILLIAMS, CURTIS</t>
  </si>
  <si>
    <t>115 - Career and Technology (Vocatoinal) Edcucation</t>
  </si>
  <si>
    <t>CTE teacher</t>
  </si>
  <si>
    <t>CHILDS-KINDRED, ANGELA</t>
  </si>
  <si>
    <t>CONLEY, ELIZABETH</t>
  </si>
  <si>
    <t>CTE Culinary Teacher</t>
  </si>
  <si>
    <t>FOYE, JINENE</t>
  </si>
  <si>
    <t>GRANT, JERRI</t>
  </si>
  <si>
    <t>KRYSTY, DANIEL</t>
  </si>
  <si>
    <t>MCKOY, TIFFANY</t>
  </si>
  <si>
    <t>MILEY, DANA</t>
  </si>
  <si>
    <t>NISOFF, CHRISTOPHER</t>
  </si>
  <si>
    <t>RICHARDSON, WILLIAM</t>
  </si>
  <si>
    <t>SCHUCK, BRADY</t>
  </si>
  <si>
    <t>TOMSIC, PATRICIA</t>
  </si>
  <si>
    <t>WALKER, LORNE</t>
  </si>
  <si>
    <t>BIRCH, COURTNEY</t>
  </si>
  <si>
    <t>Health Science/Sports Med New</t>
  </si>
  <si>
    <t>119 - Physical Education</t>
  </si>
  <si>
    <t>PE</t>
  </si>
  <si>
    <t>EPPELSHEIMER, JOHN</t>
  </si>
  <si>
    <t>HILL, COURTNEY</t>
  </si>
  <si>
    <t>HENDRICKS, BENJAMIN</t>
  </si>
  <si>
    <t>WESTERMAN, ALEC</t>
  </si>
  <si>
    <t>WILKINS, CHRISTOPHER</t>
  </si>
  <si>
    <t>PE/Athletic Director</t>
  </si>
  <si>
    <t>HOLLAND, JEREMY</t>
  </si>
  <si>
    <t>FUNK, ZACKARY</t>
  </si>
  <si>
    <t>Health</t>
  </si>
  <si>
    <t>Total: 7</t>
  </si>
  <si>
    <t>121 - Educable Mentally Handicapped</t>
  </si>
  <si>
    <t>SPED Aide</t>
  </si>
  <si>
    <t>COLLINS, SANDRA</t>
  </si>
  <si>
    <t>122 - Educable Mentally Handicapped</t>
  </si>
  <si>
    <t>CHRISTY, GREGORY</t>
  </si>
  <si>
    <t>122 - Trainable Mentally Handicapped</t>
  </si>
  <si>
    <t>HARTNETT, RYAN</t>
  </si>
  <si>
    <t>KELLY, PATRICK</t>
  </si>
  <si>
    <t>WHITE, YVONNE</t>
  </si>
  <si>
    <t>Special Education</t>
  </si>
  <si>
    <t>SCHRIMSHER, ROBYN</t>
  </si>
  <si>
    <t>WAITES, DARYL</t>
  </si>
  <si>
    <t>127 - Learning Disabilities</t>
  </si>
  <si>
    <t>AHRENS, LISA</t>
  </si>
  <si>
    <t>BARBANEL, AMY</t>
  </si>
  <si>
    <t>BARKSDALE, LINDSEY</t>
  </si>
  <si>
    <t>SELSTAD, AMANDA</t>
  </si>
  <si>
    <t>FOLLINE, DANIELLE</t>
  </si>
  <si>
    <t>GARNER, ALICE (frozen)</t>
  </si>
  <si>
    <t>C43</t>
  </si>
  <si>
    <t>HAMILTON LUKE (Multi)</t>
  </si>
  <si>
    <t>MONES, EMILY</t>
  </si>
  <si>
    <t>ROBBINS, JACQUELINE</t>
  </si>
  <si>
    <t>128 - Learning Disabilities</t>
  </si>
  <si>
    <t>YEATES, JASON</t>
  </si>
  <si>
    <t>FINLEY, HEATHER</t>
  </si>
  <si>
    <t xml:space="preserve">Total: SPED Teachers </t>
  </si>
  <si>
    <t xml:space="preserve">Total: SPED Staff </t>
  </si>
  <si>
    <t>162 - Limited English Proficency</t>
  </si>
  <si>
    <t>ESOL</t>
  </si>
  <si>
    <t>MORILLO, VIRGINIA</t>
  </si>
  <si>
    <t>212 - Guidance Services</t>
  </si>
  <si>
    <t>Guidance</t>
  </si>
  <si>
    <t>BRANDON, LINDSAY</t>
  </si>
  <si>
    <t>FARRELL, DEBORAH</t>
  </si>
  <si>
    <t>C52</t>
  </si>
  <si>
    <t>GRAHAM, LASHEL</t>
  </si>
  <si>
    <t>213 - Guidance Services</t>
  </si>
  <si>
    <t>HORNE, WANDA (0.4)</t>
  </si>
  <si>
    <t>REID, MEREDITH</t>
  </si>
  <si>
    <t>HURLEY, ALLISON</t>
  </si>
  <si>
    <t>SMALL, RYAN</t>
  </si>
  <si>
    <t>SMILLIE, JENNIFER</t>
  </si>
  <si>
    <t>Transferring</t>
  </si>
  <si>
    <t>213 - Health Services</t>
  </si>
  <si>
    <t>Clinic</t>
  </si>
  <si>
    <t>OLDS, CONSTANCE</t>
  </si>
  <si>
    <t>C41A</t>
  </si>
  <si>
    <t>COLLIER, LIBBY</t>
  </si>
  <si>
    <t>222 - Library and Media Services</t>
  </si>
  <si>
    <t>Librarian</t>
  </si>
  <si>
    <t>CRUMPTON, MELANIE</t>
  </si>
  <si>
    <t>233 - School Administration</t>
  </si>
  <si>
    <t>Program Head</t>
  </si>
  <si>
    <t>CHAPMAN-BLADES, HORATIO</t>
  </si>
  <si>
    <t>C42</t>
  </si>
  <si>
    <t>HR Coordinator</t>
  </si>
  <si>
    <t>SHADDRIX, LYNN</t>
  </si>
  <si>
    <t>C41</t>
  </si>
  <si>
    <t>Student Concern Spec</t>
  </si>
  <si>
    <t xml:space="preserve">KING, LLOYD </t>
  </si>
  <si>
    <t>ROLAND, VALLERY</t>
  </si>
  <si>
    <t>214 - Guidance Services</t>
  </si>
  <si>
    <t>RICHARDSON, CHRISTOPHER</t>
  </si>
  <si>
    <t>215 - Guidance Services</t>
  </si>
  <si>
    <t>VINSON, PRESTON</t>
  </si>
  <si>
    <t>BYRD, MARY</t>
  </si>
  <si>
    <t>Total: 5</t>
  </si>
  <si>
    <t>111 - Principal/Assistant Principal Salaries</t>
  </si>
  <si>
    <t>AP- 8</t>
  </si>
  <si>
    <t>D62</t>
  </si>
  <si>
    <t>DRAKE, ANDREW</t>
  </si>
  <si>
    <t>AP- 14</t>
  </si>
  <si>
    <t>HOLLAND, CARRIE</t>
  </si>
  <si>
    <t>AP</t>
  </si>
  <si>
    <t>RICHARDSON, DONNIA</t>
  </si>
  <si>
    <t>TEMONEY, ARCHIE</t>
  </si>
  <si>
    <t>Principal</t>
  </si>
  <si>
    <t>THORN, TIMOTHY</t>
  </si>
  <si>
    <t>E81</t>
  </si>
  <si>
    <t>Total: 6</t>
  </si>
  <si>
    <t>Secretary/Receptionist</t>
  </si>
  <si>
    <t>FREEMAN, HELEN</t>
  </si>
  <si>
    <t>240/209</t>
  </si>
  <si>
    <t xml:space="preserve"> Secretary/Receptionist</t>
  </si>
  <si>
    <t>CHOCKO-GALLAGHER, SHARON</t>
  </si>
  <si>
    <t>DAVID, VERONICA</t>
  </si>
  <si>
    <t>Secretary, Guidance</t>
  </si>
  <si>
    <t>MCCOY, CHRISTINA</t>
  </si>
  <si>
    <t>RIVERA, EDNIE</t>
  </si>
  <si>
    <t>B22</t>
  </si>
  <si>
    <t>SINGLETON, SYDRIA</t>
  </si>
  <si>
    <t>SWITTENBERG, KATHLEEN</t>
  </si>
  <si>
    <t>HAMILTON, LAUREN</t>
  </si>
  <si>
    <t>210/190</t>
  </si>
  <si>
    <t>WRIGHT, ANNE (frozen)</t>
  </si>
  <si>
    <t>Total: 9</t>
  </si>
  <si>
    <t>252 - Fiscal Services</t>
  </si>
  <si>
    <t>Finance</t>
  </si>
  <si>
    <t>CHISOLM, YOLANDA</t>
  </si>
  <si>
    <t>B32</t>
  </si>
  <si>
    <t>254 - Custodial Services</t>
  </si>
  <si>
    <t>Facilities</t>
  </si>
  <si>
    <t>HALSTEAD, JANET</t>
  </si>
  <si>
    <t>HALSTEAD, PATRICK</t>
  </si>
  <si>
    <t>B23</t>
  </si>
  <si>
    <t>LEE, BRIAN</t>
  </si>
  <si>
    <t>MONETTE, NEAL</t>
  </si>
  <si>
    <r>
      <rPr>
        <sz val="11"/>
        <color theme="1"/>
        <rFont val="Calibri"/>
        <family val="2"/>
      </rPr>
      <t xml:space="preserve">PORTER, JAMMAL </t>
    </r>
    <r>
      <rPr>
        <b/>
        <sz val="11"/>
        <color rgb="FFFF0000"/>
        <rFont val="Calibri"/>
        <family val="2"/>
      </rPr>
      <t>FROZEN</t>
    </r>
  </si>
  <si>
    <t>FROZEN UNTIL STEP 22</t>
  </si>
  <si>
    <t xml:space="preserve">GROOMS, M. JOSEPH </t>
  </si>
  <si>
    <t>258 - Security</t>
  </si>
  <si>
    <t>Campus Security Officer</t>
  </si>
  <si>
    <t>EDWARDS, JASON</t>
  </si>
  <si>
    <t>Total: 1</t>
  </si>
  <si>
    <t xml:space="preserve">english spanish and make optional </t>
  </si>
  <si>
    <t>Athletic Stipends</t>
  </si>
  <si>
    <t>ATHLETIC DIRECTOR</t>
  </si>
  <si>
    <t>Supplement Totals</t>
  </si>
  <si>
    <t>INCLUDED IN SALARY</t>
  </si>
  <si>
    <t>Playoff Pay Approximate Amount</t>
  </si>
  <si>
    <t>ASST ATHLETIC DIRECTOR</t>
  </si>
  <si>
    <t>AD/Assistant AD</t>
  </si>
  <si>
    <t>AD Support Staff Spring</t>
  </si>
  <si>
    <t>TYPE OF SPORT</t>
  </si>
  <si>
    <t>NAME</t>
  </si>
  <si>
    <t>FOOTBALL - HEAD</t>
  </si>
  <si>
    <t>Jamar McKoy</t>
  </si>
  <si>
    <t>FOOTBALL - Def COORD</t>
  </si>
  <si>
    <t>Haratio Blades</t>
  </si>
  <si>
    <t>Football - Pass Game Coordinator</t>
  </si>
  <si>
    <t>Mike Rentz</t>
  </si>
  <si>
    <t>FOOTBALL - Run Game Coordinator</t>
  </si>
  <si>
    <t>Preston Vinson</t>
  </si>
  <si>
    <t>FOOTBALL - ASSISTANT (RBs)</t>
  </si>
  <si>
    <t>Tim Grant</t>
  </si>
  <si>
    <t>FOOTBALL - ASSISTANT (WRs)</t>
  </si>
  <si>
    <t>Matt Porter</t>
  </si>
  <si>
    <t>FOOTBALL - ASSISTANT (OLs)</t>
  </si>
  <si>
    <t>Curtis Williams</t>
  </si>
  <si>
    <t>FOOTBALL - ASSISTANT (CBs)</t>
  </si>
  <si>
    <t>Devin Brown</t>
  </si>
  <si>
    <t>FOOTBALL-ASSISTANT (Safties)</t>
  </si>
  <si>
    <t>Bray Maxwell</t>
  </si>
  <si>
    <t>FOOTBALL-ASSISTANT (DLs)</t>
  </si>
  <si>
    <t>Jeremy Morris</t>
  </si>
  <si>
    <t>FOOTBALL - ASSISTANT (DLs)</t>
  </si>
  <si>
    <t>Kevin Mapp</t>
  </si>
  <si>
    <t>Football - ASSISTANT (LBs)</t>
  </si>
  <si>
    <t>Randy Hilyer</t>
  </si>
  <si>
    <t>Football ASSISTANT (DBs)</t>
  </si>
  <si>
    <t>Jay Thier</t>
  </si>
  <si>
    <t>Football - JV Head Coach/Varsity Assistant</t>
  </si>
  <si>
    <t>JJ Baldwin</t>
  </si>
  <si>
    <t>Football - JV ASSISTANT</t>
  </si>
  <si>
    <t>Football - Head Middle School</t>
  </si>
  <si>
    <t>Morris White</t>
  </si>
  <si>
    <t>Foootball- MIDDLE SCHOOL Assistant</t>
  </si>
  <si>
    <t>Gene Woodall</t>
  </si>
  <si>
    <t>Football - MIDDLE SCHOOL ASSISTANT</t>
  </si>
  <si>
    <t>Bailey Bennett</t>
  </si>
  <si>
    <t>Jay Williams</t>
  </si>
  <si>
    <t>Head Cross Country Boys</t>
  </si>
  <si>
    <t>David Lee</t>
  </si>
  <si>
    <t>Head Cross Country Girls</t>
  </si>
  <si>
    <t>Joe Eshelman</t>
  </si>
  <si>
    <t>Assistant Coaches Stipend</t>
  </si>
  <si>
    <t>Ed Carson</t>
  </si>
  <si>
    <t>Head Cheer Coach Competition/Sideline</t>
  </si>
  <si>
    <t>Theresa Griffith</t>
  </si>
  <si>
    <t>Assistant Coach Stipends</t>
  </si>
  <si>
    <t>Girl Golf - Head</t>
  </si>
  <si>
    <t>Danielle Davidson</t>
  </si>
  <si>
    <t>Head Girls Tennis</t>
  </si>
  <si>
    <t>Lindsey Howard</t>
  </si>
  <si>
    <t>Head Boys Swim</t>
  </si>
  <si>
    <t>Keith Corbeil</t>
  </si>
  <si>
    <t>Head Girls Swim</t>
  </si>
  <si>
    <t>Josh Stroble</t>
  </si>
  <si>
    <t>Volleyball - Head</t>
  </si>
  <si>
    <t>Jason Yeates</t>
  </si>
  <si>
    <t>Head Cheer Basketball</t>
  </si>
  <si>
    <t>BASKETBALL - HEAD (BOYS)</t>
  </si>
  <si>
    <t>S Wilkins</t>
  </si>
  <si>
    <t>BASKETBALL HEAD GIRLS</t>
  </si>
  <si>
    <t>Beyoglides</t>
  </si>
  <si>
    <t>WRESTLING - Head</t>
  </si>
  <si>
    <t>Justin Iverson</t>
  </si>
  <si>
    <t>HEAD GOLF (BOYS)</t>
  </si>
  <si>
    <t>Dan Krysty</t>
  </si>
  <si>
    <t>HEAD SOCCER (BOYS)</t>
  </si>
  <si>
    <t>Robinson, Todd</t>
  </si>
  <si>
    <t>HEAD SOCCER VARSITY (GIRLS)</t>
  </si>
  <si>
    <t>Kim Cohn</t>
  </si>
  <si>
    <t>Head Varsity Baseball</t>
  </si>
  <si>
    <t>Matt Spivey</t>
  </si>
  <si>
    <t>Head Varsity Softball</t>
  </si>
  <si>
    <t>Courtney Hill</t>
  </si>
  <si>
    <t>HEAD TENNIS (BOYS)</t>
  </si>
  <si>
    <t>HEAD TRACK (BOYS)</t>
  </si>
  <si>
    <t>Joe Eshelmen</t>
  </si>
  <si>
    <t>HEAD TRACK (GIRLS)</t>
  </si>
  <si>
    <t>Yvonne White</t>
  </si>
  <si>
    <t>Lacrosse Girls</t>
  </si>
  <si>
    <t>Sara Updegraf Non CCSD</t>
  </si>
  <si>
    <t>Lacrosse Boys Non CCSD</t>
  </si>
  <si>
    <t>Matthew Loda (NON CCSD)</t>
  </si>
  <si>
    <t>estimated non JICH employed coaches</t>
  </si>
  <si>
    <t>Retirement for JICH employed coaches</t>
  </si>
  <si>
    <t>Taxes for JICH employed coaches</t>
  </si>
  <si>
    <t>Previous Years Budget Numbers</t>
  </si>
  <si>
    <t>Statement of Revenues and Expenses</t>
  </si>
  <si>
    <t xml:space="preserve"> </t>
  </si>
  <si>
    <t>Year To Date</t>
  </si>
  <si>
    <t>Budgeting Notes</t>
  </si>
  <si>
    <t>Actual YTD</t>
  </si>
  <si>
    <t xml:space="preserve">  REVENUE</t>
  </si>
  <si>
    <t xml:space="preserve">  </t>
  </si>
  <si>
    <t xml:space="preserve">    Revenue from Local Sources</t>
  </si>
  <si>
    <t xml:space="preserve">    </t>
  </si>
  <si>
    <t xml:space="preserve">      Earnings on Investments</t>
  </si>
  <si>
    <t xml:space="preserve">      </t>
  </si>
  <si>
    <t xml:space="preserve">      Total Earnings on Investments</t>
  </si>
  <si>
    <t xml:space="preserve">      Vending</t>
  </si>
  <si>
    <t xml:space="preserve">      Total Vending</t>
  </si>
  <si>
    <t xml:space="preserve">      Pupil Activities</t>
  </si>
  <si>
    <t xml:space="preserve">      Total Pupil Activities</t>
  </si>
  <si>
    <t xml:space="preserve">      Other Revenue from Local Sources</t>
  </si>
  <si>
    <t xml:space="preserve">      Total Other Revenue from Local Sources</t>
  </si>
  <si>
    <t xml:space="preserve">    Total Revenue from Local Sources</t>
  </si>
  <si>
    <t xml:space="preserve">    Revenue from State Sources</t>
  </si>
  <si>
    <t xml:space="preserve">      Restricted State Funding</t>
  </si>
  <si>
    <t xml:space="preserve">      Total Restricted State Funding</t>
  </si>
  <si>
    <t xml:space="preserve">      Unrestricted State Funding</t>
  </si>
  <si>
    <t xml:space="preserve">      Total Unrestricted State Funding</t>
  </si>
  <si>
    <t xml:space="preserve">      Education Improvement Act</t>
  </si>
  <si>
    <t xml:space="preserve">      Total Education Improvement Act</t>
  </si>
  <si>
    <t xml:space="preserve">    Total Revenue from State Sources</t>
  </si>
  <si>
    <t xml:space="preserve">    Revenue from Federal Sources</t>
  </si>
  <si>
    <t xml:space="preserve">      Occupational Education</t>
  </si>
  <si>
    <t xml:space="preserve">      Total Occupational Education</t>
  </si>
  <si>
    <t xml:space="preserve">      Programs for Children with Disabilities</t>
  </si>
  <si>
    <t xml:space="preserve">      Total Programs for Children with Disabilities</t>
  </si>
  <si>
    <t xml:space="preserve">      Other Federal Sources</t>
  </si>
  <si>
    <t xml:space="preserve">      Total Other Federal Sources</t>
  </si>
  <si>
    <t xml:space="preserve">    Total Revenue from Federal Sources</t>
  </si>
  <si>
    <t xml:space="preserve">  TOTAL REVENUE</t>
  </si>
  <si>
    <t xml:space="preserve">  EXPENSE</t>
  </si>
  <si>
    <t xml:space="preserve">    High School Programs</t>
  </si>
  <si>
    <t>Salaries</t>
  </si>
  <si>
    <t>Benefits</t>
  </si>
  <si>
    <t>Taxes</t>
  </si>
  <si>
    <t>Total</t>
  </si>
  <si>
    <t>Total Revenue</t>
  </si>
  <si>
    <t>PR as a ratio of Total Revenue</t>
  </si>
  <si>
    <t xml:space="preserve">    Total High School Programs</t>
  </si>
  <si>
    <t xml:space="preserve">    Vocational Programs</t>
  </si>
  <si>
    <t xml:space="preserve">    Total Vocational Programs</t>
  </si>
  <si>
    <t xml:space="preserve">    Physical Education</t>
  </si>
  <si>
    <t xml:space="preserve">    Total PE</t>
  </si>
  <si>
    <t xml:space="preserve">    Educable Mentally Handicapped</t>
  </si>
  <si>
    <t xml:space="preserve">    Total Educable Mentally Handicapped</t>
  </si>
  <si>
    <t xml:space="preserve">    Trainable Mentally Handicapped</t>
  </si>
  <si>
    <t xml:space="preserve">    Total Trainable Mentally Handicapped</t>
  </si>
  <si>
    <t xml:space="preserve">    Speech Handicapped</t>
  </si>
  <si>
    <t xml:space="preserve">    Total Speech Handicapped</t>
  </si>
  <si>
    <t xml:space="preserve">    Learning Disabilities</t>
  </si>
  <si>
    <t xml:space="preserve">    Total Learning Disabilities</t>
  </si>
  <si>
    <t xml:space="preserve">    Internat'l Bacc and Advanced Placement</t>
  </si>
  <si>
    <t xml:space="preserve">    Total I.B. and A.P.</t>
  </si>
  <si>
    <t xml:space="preserve">    Homebound </t>
  </si>
  <si>
    <t xml:space="preserve">    Total Homebound</t>
  </si>
  <si>
    <t xml:space="preserve">    Limited English Proficiency</t>
  </si>
  <si>
    <t xml:space="preserve">    Total Limited English Proficiency</t>
  </si>
  <si>
    <t xml:space="preserve">    High School Summer School</t>
  </si>
  <si>
    <t xml:space="preserve">    Total HS Summer School</t>
  </si>
  <si>
    <t xml:space="preserve">    Guidance Services</t>
  </si>
  <si>
    <t xml:space="preserve">    Total Guidance Services</t>
  </si>
  <si>
    <t xml:space="preserve">    Health Services</t>
  </si>
  <si>
    <t xml:space="preserve">    Total Health Services</t>
  </si>
  <si>
    <t xml:space="preserve">    Library and Media Services</t>
  </si>
  <si>
    <t xml:space="preserve">    Total Library and Media Services</t>
  </si>
  <si>
    <t xml:space="preserve">    Staff Training</t>
  </si>
  <si>
    <t xml:space="preserve">    Total Staff Training</t>
  </si>
  <si>
    <t xml:space="preserve">    Board</t>
  </si>
  <si>
    <t xml:space="preserve">    Total Board</t>
  </si>
  <si>
    <t xml:space="preserve">    Bonus</t>
  </si>
  <si>
    <t xml:space="preserve">    Total Bonus</t>
  </si>
  <si>
    <t xml:space="preserve">    School Administration</t>
  </si>
  <si>
    <t xml:space="preserve">    Total School Administration</t>
  </si>
  <si>
    <t xml:space="preserve">    Fiscal Services</t>
  </si>
  <si>
    <t xml:space="preserve">    Total Fiscal Services</t>
  </si>
  <si>
    <t xml:space="preserve">    Operation and Maintenance of Plant</t>
  </si>
  <si>
    <t xml:space="preserve">    Total Operation and Maintenance of Plant</t>
  </si>
  <si>
    <t xml:space="preserve">    Student Transportation (State Mandated)</t>
  </si>
  <si>
    <t xml:space="preserve">    Total Student Transportation (State Mandated)</t>
  </si>
  <si>
    <t xml:space="preserve">    Security</t>
  </si>
  <si>
    <t xml:space="preserve">    Total Security</t>
  </si>
  <si>
    <t xml:space="preserve">    Pupil Service Activities (Athletics)</t>
  </si>
  <si>
    <t xml:space="preserve">    Total Pupil Service Activities (Athletics)</t>
  </si>
  <si>
    <t xml:space="preserve">  TOTAL EXPENSE</t>
  </si>
  <si>
    <t xml:space="preserve">  Total Operating Net Income</t>
  </si>
  <si>
    <t xml:space="preserve">  Capital Projects</t>
  </si>
  <si>
    <t xml:space="preserve">    Facilities Aquisition and Construction</t>
  </si>
  <si>
    <t xml:space="preserve">    Total Facilities Aquisition and Construction</t>
  </si>
  <si>
    <t xml:space="preserve">  Total Capital Projects</t>
  </si>
  <si>
    <t xml:space="preserve">      Construction (ESSER II)</t>
  </si>
  <si>
    <t>FY22 Total Payroll</t>
  </si>
  <si>
    <t>FY23Total Payroll</t>
  </si>
  <si>
    <t>FY - 23</t>
  </si>
  <si>
    <t>Total Payroll</t>
  </si>
  <si>
    <t>Coaching/subs/home/summer</t>
  </si>
  <si>
    <t>FY-23 Salary</t>
  </si>
  <si>
    <t>Baseball Club</t>
  </si>
  <si>
    <t xml:space="preserve">Football </t>
  </si>
  <si>
    <t>Athletic Fund</t>
  </si>
  <si>
    <t xml:space="preserve">Boy's Lacrosse </t>
  </si>
  <si>
    <t>FY-23 Total Salary</t>
  </si>
  <si>
    <t>FY-23 Health</t>
  </si>
  <si>
    <t>FY-23 Retirement</t>
  </si>
  <si>
    <t>FY-23 Taxes</t>
  </si>
  <si>
    <t>FY-23 Unemployment</t>
  </si>
  <si>
    <t>FY-23 Total</t>
  </si>
  <si>
    <t xml:space="preserve">001730 Trainum Brothers Services LLC </t>
  </si>
  <si>
    <t xml:space="preserve">Sideline Belts and Goal Posts </t>
  </si>
  <si>
    <t xml:space="preserve">Athletic Fund </t>
  </si>
  <si>
    <t xml:space="preserve">mirror move to athletic improvements </t>
  </si>
  <si>
    <t xml:space="preserve">stencils for football about uniforms </t>
  </si>
  <si>
    <t xml:space="preserve">helmits </t>
  </si>
  <si>
    <t>Leslie McLaughli</t>
  </si>
  <si>
    <t>EDWARD, JOSEPH</t>
  </si>
  <si>
    <t>LANGSTON, LAUREN</t>
  </si>
  <si>
    <t>CROOM, ANNE</t>
  </si>
  <si>
    <t>LOVERIDGE, JODY</t>
  </si>
  <si>
    <t>SUTTON, SCOTT</t>
  </si>
  <si>
    <t>KREAMER, JAMES</t>
  </si>
  <si>
    <t>FARRIER, MICHAEL</t>
  </si>
  <si>
    <t>HEFLIN, AUSTIN</t>
  </si>
  <si>
    <t>MOSBACHER, KELLY</t>
  </si>
  <si>
    <t>WHITE, TARA</t>
  </si>
  <si>
    <t>FY23 Projection</t>
  </si>
  <si>
    <t>Estimated FY-22/23 Per Pupil</t>
  </si>
  <si>
    <t>Removed Budgeted ESSER</t>
  </si>
  <si>
    <t>Removed Budgeted ESSER - 477k Per Management - Tech Lead</t>
  </si>
  <si>
    <t>Washington , Michael</t>
  </si>
  <si>
    <t>BALDWIN, TIMOTHY</t>
  </si>
  <si>
    <t>LYLE, KAREN</t>
  </si>
  <si>
    <t xml:space="preserve">FY 23 Budget </t>
  </si>
  <si>
    <t xml:space="preserve">      State Aid to Classroom</t>
  </si>
  <si>
    <t>Current Budget</t>
  </si>
  <si>
    <t>Projection</t>
  </si>
  <si>
    <t>FY23 45 Day</t>
  </si>
  <si>
    <t>See EFA Tab (1588 ADM - $9,529, per WPU) - State Aid to Classroom Line</t>
  </si>
  <si>
    <t xml:space="preserve">      6640 - Membership Dues &amp; Fees</t>
  </si>
  <si>
    <t xml:space="preserve">        1510 - Interest Income</t>
  </si>
  <si>
    <t xml:space="preserve">        1530 - Gain/Loss on Investment (Unrealized)</t>
  </si>
  <si>
    <t xml:space="preserve">        1610 - Coastal Cantina</t>
  </si>
  <si>
    <t xml:space="preserve">        1612 - Pepsi Vending</t>
  </si>
  <si>
    <t xml:space="preserve">        1740 - Student Fees</t>
  </si>
  <si>
    <t xml:space="preserve">        1790 - Other Pupil Income</t>
  </si>
  <si>
    <t xml:space="preserve">        1910 - Rentals</t>
  </si>
  <si>
    <t xml:space="preserve">        1920 - Contributions and Donations</t>
  </si>
  <si>
    <t xml:space="preserve">        1922 - Fundraising</t>
  </si>
  <si>
    <t xml:space="preserve">        1990 - Miscellaneous Local Revenue</t>
  </si>
  <si>
    <t xml:space="preserve">        3118 - EEDA Career Specialists</t>
  </si>
  <si>
    <t xml:space="preserve">        3187 - Teacher Supply</t>
  </si>
  <si>
    <t xml:space="preserve">        3250 - Cornerstone Medicaid Nurses</t>
  </si>
  <si>
    <t xml:space="preserve">        3519 - EIA Revenue - International Baccalaurete 19-20 Exams</t>
  </si>
  <si>
    <t xml:space="preserve">        3529 - EIA Revenue - Career and Technology Education</t>
  </si>
  <si>
    <t xml:space="preserve">        3532 - EIA Revenue - National Board Salary Supplement</t>
  </si>
  <si>
    <t xml:space="preserve">        4210 - Perkins Aid, Title I</t>
  </si>
  <si>
    <t xml:space="preserve">        4510 - IDEA Revenue</t>
  </si>
  <si>
    <t xml:space="preserve">        4974 - ESSER III</t>
  </si>
  <si>
    <t xml:space="preserve">        4995 - JROTC</t>
  </si>
  <si>
    <t xml:space="preserve">      6110 - Regular Salary</t>
  </si>
  <si>
    <t xml:space="preserve">      6115 - Assistants and Clerical</t>
  </si>
  <si>
    <t xml:space="preserve">      6120 - Substitute/Temporary Salary</t>
  </si>
  <si>
    <t xml:space="preserve">      6130 - Overtime Salary</t>
  </si>
  <si>
    <t xml:space="preserve">      6149 - Early College and Special Programs</t>
  </si>
  <si>
    <t xml:space="preserve">      6210 - Group Health &amp; Life Insurance</t>
  </si>
  <si>
    <t xml:space="preserve">      6220 - Employee Retirement</t>
  </si>
  <si>
    <t xml:space="preserve">      6230 - Social Security</t>
  </si>
  <si>
    <t xml:space="preserve">      6260 - Unemployment Compensation Tax</t>
  </si>
  <si>
    <t xml:space="preserve">      6270 - Worker's Compensation Tax</t>
  </si>
  <si>
    <t xml:space="preserve">      6311 - Instructional Services</t>
  </si>
  <si>
    <t xml:space="preserve">      6332 - Travel</t>
  </si>
  <si>
    <t xml:space="preserve">      6360 - Printing &amp; Binding</t>
  </si>
  <si>
    <t xml:space="preserve">      6395 - Other Professional/Tech Services</t>
  </si>
  <si>
    <t xml:space="preserve">      6410 - Supplies</t>
  </si>
  <si>
    <t xml:space="preserve">      6412 - Graduation Expenses and Supplies</t>
  </si>
  <si>
    <t xml:space="preserve">      6420 - Textbooks</t>
  </si>
  <si>
    <t xml:space="preserve">      6445 - Technology Equipment and Software</t>
  </si>
  <si>
    <t xml:space="preserve">      6446 - Instructional Software &amp; Supp</t>
  </si>
  <si>
    <t xml:space="preserve">      6540 - Instructional Equipment</t>
  </si>
  <si>
    <t xml:space="preserve">      6545 - Technology Equipment</t>
  </si>
  <si>
    <t xml:space="preserve">      6312 - Instructional Programs Improvement Services</t>
  </si>
  <si>
    <t xml:space="preserve">      6399 - Other Purchased Services</t>
  </si>
  <si>
    <t xml:space="preserve">      6331 - Student Transportation</t>
  </si>
  <si>
    <t xml:space="preserve">      6430 - Library Books &amp; Materials</t>
  </si>
  <si>
    <t xml:space="preserve">      6318 - Audit Services</t>
  </si>
  <si>
    <t xml:space="preserve">      6319 - Legal Services</t>
  </si>
  <si>
    <t xml:space="preserve">      6111 - Principal and Asst Principals</t>
  </si>
  <si>
    <t xml:space="preserve">      6340 - Communication</t>
  </si>
  <si>
    <t xml:space="preserve">      6650 - Liability Insurance</t>
  </si>
  <si>
    <t xml:space="preserve">      6315 - Management Services</t>
  </si>
  <si>
    <t xml:space="preserve">      6690 - Other Fees and Charges</t>
  </si>
  <si>
    <t xml:space="preserve">      6320 - Property Services</t>
  </si>
  <si>
    <t xml:space="preserve">      6321 - Public Utility Services (Excl energy)</t>
  </si>
  <si>
    <t xml:space="preserve">      6322 - Cleaning Services</t>
  </si>
  <si>
    <t xml:space="preserve">      6323 - Repairs &amp; Maintenance Servic</t>
  </si>
  <si>
    <t xml:space="preserve">      6470 - Energy (Electric, Gas, and Other Heating Fuels)</t>
  </si>
  <si>
    <t xml:space="preserve">      6530 - Plexiglass Outfitting</t>
  </si>
  <si>
    <t xml:space="preserve">      6499 - Other Pupil Services</t>
  </si>
  <si>
    <t xml:space="preserve">      6600 - Other Objects</t>
  </si>
  <si>
    <t xml:space="preserve">      6660 - Pupil Activity</t>
  </si>
  <si>
    <t>Remaining supplies</t>
  </si>
  <si>
    <t>Audio Uplift</t>
  </si>
  <si>
    <t>Security</t>
  </si>
  <si>
    <t>FY23 Salaries</t>
  </si>
  <si>
    <t>Review to see if increase is needed</t>
  </si>
  <si>
    <t>Based on revenue received</t>
  </si>
  <si>
    <t>Surry Insurance Refund</t>
  </si>
  <si>
    <t>To zero out revenue received</t>
  </si>
  <si>
    <t>Reduced to match funds received</t>
  </si>
  <si>
    <t>Increased to match funds received</t>
  </si>
  <si>
    <t>Adjusted based on current expense</t>
  </si>
  <si>
    <t>Contracted nurses</t>
  </si>
  <si>
    <t>ESSER III Expense</t>
  </si>
  <si>
    <t>Lynx Systems Developers Inc</t>
  </si>
  <si>
    <t>Football payoffs gate proceeds</t>
  </si>
  <si>
    <t>45 Day Budget Draft</t>
  </si>
  <si>
    <t>Coaching Stipends</t>
  </si>
  <si>
    <t>Deacon Food Service Solutions</t>
  </si>
  <si>
    <t>Zero out IB book purchase</t>
  </si>
  <si>
    <t>Estimate for travel expense for training</t>
  </si>
  <si>
    <t>Estimate for training supplies</t>
  </si>
  <si>
    <t>Estimate for board supplies</t>
  </si>
  <si>
    <t>Estimate for band instructors</t>
  </si>
  <si>
    <t>Held the same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</si>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</sst>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$-409]#,##0_);[$$-409]\(#,##0\);\-"/>
    <numFmt numFmtId="166" formatCode="\$#,##0.00"/>
    <numFmt numFmtId="167" formatCode="&quot;$&quot;#,##0.00"/>
    <numFmt numFmtId="168" formatCode="&quot;$&quot;#,##0"/>
    <numFmt numFmtId="169" formatCode="[$$-409]#,##0.00"/>
    <numFmt numFmtId="170" formatCode="_(* #,##0_);_(* \(#,##0\);_(* \-_);_(@_)"/>
    <numFmt numFmtId="171" formatCode="&quot;$&quot;\ #,##0.00;&quot;$&quot;\ \(#,##0.00\)"/>
    <numFmt numFmtId="172" formatCode="#,##0.00\ %;\(#,##0.00\)\ %"/>
    <numFmt numFmtId="173" formatCode="#,##0.00;\(#,##0.00\)"/>
  </numFmts>
  <fonts count="49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sz val="10"/>
      <color theme="1"/>
      <name val="Arial"/>
      <family val="2"/>
    </font>
    <font>
      <sz val="11"/>
      <color rgb="FF434343"/>
      <name val="Calibri"/>
      <family val="2"/>
    </font>
    <font>
      <b/>
      <sz val="10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Docs-Calibri"/>
    </font>
    <font>
      <b/>
      <sz val="11"/>
      <color rgb="FFFF0000"/>
      <name val="Roboto"/>
    </font>
    <font>
      <b/>
      <sz val="11"/>
      <color rgb="FF434343"/>
      <name val="Calibri"/>
      <family val="2"/>
    </font>
    <font>
      <sz val="10"/>
      <color rgb="FF000000"/>
      <name val="Calibri"/>
      <family val="2"/>
    </font>
    <font>
      <b/>
      <sz val="8"/>
      <color theme="1"/>
      <name val="Tahoma"/>
      <family val="2"/>
    </font>
    <font>
      <b/>
      <sz val="11"/>
      <color rgb="FFFFFFFF"/>
      <name val="Tahoma"/>
      <family val="2"/>
    </font>
    <font>
      <b/>
      <sz val="11"/>
      <color rgb="FF008080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E46D0A"/>
      <name val="Tahoma"/>
      <family val="2"/>
    </font>
    <font>
      <b/>
      <sz val="8"/>
      <color rgb="FFFA7D00"/>
      <name val="Tahoma"/>
      <family val="2"/>
    </font>
    <font>
      <b/>
      <sz val="8"/>
      <color rgb="FFFF9900"/>
      <name val="Tahoma"/>
      <family val="2"/>
    </font>
    <font>
      <b/>
      <sz val="8"/>
      <color theme="8"/>
      <name val="Tahoma"/>
      <family val="2"/>
    </font>
    <font>
      <b/>
      <sz val="9"/>
      <color rgb="FF000000"/>
      <name val="Tahoma"/>
      <family val="2"/>
    </font>
    <font>
      <b/>
      <sz val="9"/>
      <color rgb="FFFA7D00"/>
      <name val="Tahoma"/>
      <family val="2"/>
    </font>
    <font>
      <b/>
      <sz val="11"/>
      <color rgb="FF008080"/>
      <name val="Calibri"/>
      <family val="2"/>
    </font>
    <font>
      <sz val="14"/>
      <color theme="1"/>
      <name val="Helvetica Neue"/>
    </font>
    <font>
      <b/>
      <sz val="14"/>
      <color theme="1"/>
      <name val="Helvetica Neue"/>
    </font>
    <font>
      <sz val="10"/>
      <color theme="1"/>
      <name val="Helvetica Neue"/>
    </font>
    <font>
      <sz val="8"/>
      <color theme="1"/>
      <name val="Helvetica Neue"/>
    </font>
    <font>
      <b/>
      <sz val="10"/>
      <color theme="1"/>
      <name val="Helvetica Neue"/>
    </font>
    <font>
      <b/>
      <sz val="10"/>
      <color theme="1"/>
      <name val="Hel"/>
    </font>
    <font>
      <sz val="11"/>
      <color rgb="FF000000"/>
      <name val="Calibri"/>
      <family val="2"/>
    </font>
    <font>
      <sz val="10"/>
      <name val="Helvetica"/>
      <family val="2"/>
    </font>
    <font>
      <b/>
      <sz val="10"/>
      <name val="Helvetica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42" fillId="0" borderId="0" applyFont="0" applyFill="0" applyBorder="0" applyAlignment="0" applyProtection="0"/>
  </cellStyleXfs>
  <cellXfs count="238">
    <xf numFmtId="0" fontId="0" fillId="0" borderId="0" xfId="0"/>
    <xf numFmtId="0" fontId="5" fillId="0" borderId="0" xfId="0" applyFont="1"/>
    <xf numFmtId="0" fontId="5" fillId="0" borderId="7" xfId="0" applyFont="1" applyBorder="1"/>
    <xf numFmtId="8" fontId="4" fillId="0" borderId="0" xfId="0" applyNumberFormat="1" applyFont="1"/>
    <xf numFmtId="0" fontId="7" fillId="0" borderId="8" xfId="0" applyFont="1" applyBorder="1"/>
    <xf numFmtId="44" fontId="0" fillId="0" borderId="0" xfId="0" applyNumberFormat="1"/>
    <xf numFmtId="39" fontId="5" fillId="0" borderId="0" xfId="0" applyNumberFormat="1" applyFont="1"/>
    <xf numFmtId="164" fontId="0" fillId="0" borderId="0" xfId="0" applyNumberForma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39" fontId="4" fillId="0" borderId="1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/>
    <xf numFmtId="9" fontId="0" fillId="0" borderId="0" xfId="0" applyNumberFormat="1"/>
    <xf numFmtId="0" fontId="8" fillId="3" borderId="11" xfId="0" applyFont="1" applyFill="1" applyBorder="1"/>
    <xf numFmtId="2" fontId="5" fillId="3" borderId="1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4" fillId="0" borderId="0" xfId="0" applyNumberFormat="1" applyFont="1"/>
    <xf numFmtId="2" fontId="4" fillId="0" borderId="0" xfId="0" applyNumberFormat="1" applyFont="1"/>
    <xf numFmtId="0" fontId="4" fillId="0" borderId="7" xfId="0" applyFont="1" applyBorder="1"/>
    <xf numFmtId="0" fontId="4" fillId="0" borderId="0" xfId="0" applyFont="1"/>
    <xf numFmtId="8" fontId="4" fillId="0" borderId="13" xfId="0" applyNumberFormat="1" applyFont="1" applyBorder="1"/>
    <xf numFmtId="8" fontId="4" fillId="0" borderId="8" xfId="0" applyNumberFormat="1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8" fontId="0" fillId="0" borderId="0" xfId="0" applyNumberFormat="1"/>
    <xf numFmtId="0" fontId="2" fillId="0" borderId="0" xfId="0" applyFont="1"/>
    <xf numFmtId="10" fontId="0" fillId="0" borderId="0" xfId="0" applyNumberFormat="1"/>
    <xf numFmtId="49" fontId="6" fillId="0" borderId="1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vertical="top"/>
    </xf>
    <xf numFmtId="0" fontId="5" fillId="0" borderId="0" xfId="0" applyFont="1" applyAlignment="1">
      <alignment vertical="top"/>
    </xf>
    <xf numFmtId="166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center"/>
    </xf>
    <xf numFmtId="166" fontId="5" fillId="0" borderId="0" xfId="0" applyNumberFormat="1" applyFont="1"/>
    <xf numFmtId="0" fontId="10" fillId="0" borderId="0" xfId="0" applyFont="1"/>
    <xf numFmtId="166" fontId="0" fillId="0" borderId="0" xfId="0" applyNumberFormat="1"/>
    <xf numFmtId="0" fontId="0" fillId="0" borderId="0" xfId="0" applyAlignment="1">
      <alignment horizontal="center" vertical="center"/>
    </xf>
    <xf numFmtId="0" fontId="17" fillId="0" borderId="0" xfId="0" applyFont="1"/>
    <xf numFmtId="0" fontId="22" fillId="0" borderId="10" xfId="0" applyFont="1" applyBorder="1"/>
    <xf numFmtId="0" fontId="5" fillId="0" borderId="10" xfId="0" applyFont="1" applyBorder="1" applyAlignment="1">
      <alignment vertical="top"/>
    </xf>
    <xf numFmtId="167" fontId="23" fillId="0" borderId="10" xfId="0" applyNumberFormat="1" applyFont="1" applyBorder="1" applyAlignment="1">
      <alignment horizontal="right"/>
    </xf>
    <xf numFmtId="167" fontId="24" fillId="0" borderId="10" xfId="0" applyNumberFormat="1" applyFont="1" applyBorder="1" applyAlignment="1">
      <alignment horizontal="right"/>
    </xf>
    <xf numFmtId="0" fontId="25" fillId="0" borderId="10" xfId="0" applyFont="1" applyBorder="1"/>
    <xf numFmtId="0" fontId="10" fillId="0" borderId="10" xfId="0" applyFont="1" applyBorder="1"/>
    <xf numFmtId="0" fontId="23" fillId="0" borderId="10" xfId="0" applyFont="1" applyBorder="1"/>
    <xf numFmtId="167" fontId="26" fillId="0" borderId="10" xfId="0" applyNumberFormat="1" applyFont="1" applyBorder="1"/>
    <xf numFmtId="0" fontId="27" fillId="0" borderId="10" xfId="0" applyFont="1" applyBorder="1"/>
    <xf numFmtId="0" fontId="22" fillId="0" borderId="10" xfId="0" applyFont="1" applyBorder="1" applyAlignment="1">
      <alignment horizontal="center"/>
    </xf>
    <xf numFmtId="167" fontId="23" fillId="0" borderId="10" xfId="0" applyNumberFormat="1" applyFont="1" applyBorder="1"/>
    <xf numFmtId="0" fontId="28" fillId="0" borderId="10" xfId="0" applyFont="1" applyBorder="1"/>
    <xf numFmtId="0" fontId="29" fillId="0" borderId="10" xfId="0" applyFont="1" applyBorder="1"/>
    <xf numFmtId="0" fontId="30" fillId="0" borderId="10" xfId="0" applyFont="1" applyBorder="1"/>
    <xf numFmtId="0" fontId="31" fillId="0" borderId="10" xfId="0" applyFont="1" applyBorder="1"/>
    <xf numFmtId="0" fontId="32" fillId="0" borderId="10" xfId="0" applyFont="1" applyBorder="1"/>
    <xf numFmtId="0" fontId="33" fillId="0" borderId="10" xfId="0" applyFont="1" applyBorder="1"/>
    <xf numFmtId="0" fontId="34" fillId="0" borderId="10" xfId="0" applyFont="1" applyBorder="1"/>
    <xf numFmtId="167" fontId="0" fillId="0" borderId="0" xfId="0" applyNumberFormat="1"/>
    <xf numFmtId="0" fontId="25" fillId="0" borderId="0" xfId="0" applyFont="1"/>
    <xf numFmtId="167" fontId="26" fillId="0" borderId="0" xfId="0" applyNumberFormat="1" applyFont="1"/>
    <xf numFmtId="167" fontId="35" fillId="0" borderId="0" xfId="0" applyNumberFormat="1" applyFont="1" applyAlignment="1">
      <alignment horizontal="right"/>
    </xf>
    <xf numFmtId="167" fontId="35" fillId="0" borderId="10" xfId="0" applyNumberFormat="1" applyFont="1" applyBorder="1" applyAlignment="1">
      <alignment horizontal="right"/>
    </xf>
    <xf numFmtId="44" fontId="0" fillId="4" borderId="12" xfId="0" applyNumberFormat="1" applyFill="1" applyBorder="1"/>
    <xf numFmtId="0" fontId="0" fillId="4" borderId="12" xfId="0" applyFill="1" applyBorder="1"/>
    <xf numFmtId="0" fontId="0" fillId="4" borderId="12" xfId="0" applyFill="1" applyBorder="1" applyAlignment="1">
      <alignment horizontal="left"/>
    </xf>
    <xf numFmtId="0" fontId="38" fillId="4" borderId="12" xfId="0" applyFont="1" applyFill="1" applyBorder="1" applyAlignment="1">
      <alignment horizontal="left"/>
    </xf>
    <xf numFmtId="0" fontId="38" fillId="4" borderId="12" xfId="0" applyFont="1" applyFill="1" applyBorder="1" applyAlignment="1">
      <alignment horizontal="right"/>
    </xf>
    <xf numFmtId="0" fontId="38" fillId="4" borderId="12" xfId="0" applyFont="1" applyFill="1" applyBorder="1" applyAlignment="1">
      <alignment horizontal="center"/>
    </xf>
    <xf numFmtId="14" fontId="38" fillId="4" borderId="21" xfId="0" applyNumberFormat="1" applyFont="1" applyFill="1" applyBorder="1" applyAlignment="1">
      <alignment horizontal="right"/>
    </xf>
    <xf numFmtId="0" fontId="38" fillId="4" borderId="21" xfId="0" applyFont="1" applyFill="1" applyBorder="1" applyAlignment="1">
      <alignment horizontal="center" vertical="center"/>
    </xf>
    <xf numFmtId="0" fontId="39" fillId="4" borderId="12" xfId="0" applyFont="1" applyFill="1" applyBorder="1" applyAlignment="1">
      <alignment horizontal="left"/>
    </xf>
    <xf numFmtId="0" fontId="39" fillId="4" borderId="22" xfId="0" applyFont="1" applyFill="1" applyBorder="1" applyAlignment="1">
      <alignment horizontal="right"/>
    </xf>
    <xf numFmtId="0" fontId="39" fillId="4" borderId="22" xfId="0" applyFont="1" applyFill="1" applyBorder="1" applyAlignment="1">
      <alignment horizontal="center" vertical="center"/>
    </xf>
    <xf numFmtId="0" fontId="40" fillId="4" borderId="12" xfId="0" applyFont="1" applyFill="1" applyBorder="1" applyAlignment="1">
      <alignment horizontal="left"/>
    </xf>
    <xf numFmtId="171" fontId="38" fillId="4" borderId="12" xfId="0" applyNumberFormat="1" applyFont="1" applyFill="1" applyBorder="1" applyAlignment="1">
      <alignment horizontal="right"/>
    </xf>
    <xf numFmtId="171" fontId="38" fillId="0" borderId="0" xfId="0" applyNumberFormat="1" applyFont="1" applyAlignment="1">
      <alignment horizontal="right"/>
    </xf>
    <xf numFmtId="172" fontId="39" fillId="4" borderId="12" xfId="0" applyNumberFormat="1" applyFont="1" applyFill="1" applyBorder="1" applyAlignment="1">
      <alignment horizontal="left"/>
    </xf>
    <xf numFmtId="173" fontId="38" fillId="4" borderId="12" xfId="0" applyNumberFormat="1" applyFont="1" applyFill="1" applyBorder="1" applyAlignment="1">
      <alignment horizontal="right"/>
    </xf>
    <xf numFmtId="171" fontId="40" fillId="4" borderId="22" xfId="0" applyNumberFormat="1" applyFont="1" applyFill="1" applyBorder="1" applyAlignment="1">
      <alignment horizontal="right"/>
    </xf>
    <xf numFmtId="171" fontId="40" fillId="4" borderId="12" xfId="0" applyNumberFormat="1" applyFont="1" applyFill="1" applyBorder="1" applyAlignment="1">
      <alignment horizontal="right"/>
    </xf>
    <xf numFmtId="173" fontId="40" fillId="4" borderId="22" xfId="0" applyNumberFormat="1" applyFont="1" applyFill="1" applyBorder="1" applyAlignment="1">
      <alignment horizontal="right"/>
    </xf>
    <xf numFmtId="173" fontId="40" fillId="4" borderId="12" xfId="0" applyNumberFormat="1" applyFont="1" applyFill="1" applyBorder="1" applyAlignment="1">
      <alignment horizontal="right"/>
    </xf>
    <xf numFmtId="171" fontId="40" fillId="4" borderId="23" xfId="0" applyNumberFormat="1" applyFont="1" applyFill="1" applyBorder="1" applyAlignment="1">
      <alignment horizontal="right"/>
    </xf>
    <xf numFmtId="44" fontId="0" fillId="4" borderId="24" xfId="0" applyNumberFormat="1" applyFill="1" applyBorder="1"/>
    <xf numFmtId="0" fontId="0" fillId="4" borderId="25" xfId="0" applyFill="1" applyBorder="1"/>
    <xf numFmtId="7" fontId="0" fillId="4" borderId="24" xfId="0" applyNumberFormat="1" applyFill="1" applyBorder="1"/>
    <xf numFmtId="44" fontId="0" fillId="4" borderId="25" xfId="0" applyNumberFormat="1" applyFill="1" applyBorder="1"/>
    <xf numFmtId="171" fontId="0" fillId="4" borderId="12" xfId="0" applyNumberFormat="1" applyFill="1" applyBorder="1"/>
    <xf numFmtId="9" fontId="0" fillId="4" borderId="12" xfId="0" applyNumberFormat="1" applyFill="1" applyBorder="1"/>
    <xf numFmtId="7" fontId="0" fillId="4" borderId="12" xfId="0" applyNumberFormat="1" applyFill="1" applyBorder="1"/>
    <xf numFmtId="171" fontId="40" fillId="4" borderId="26" xfId="0" applyNumberFormat="1" applyFont="1" applyFill="1" applyBorder="1" applyAlignment="1">
      <alignment horizontal="right"/>
    </xf>
    <xf numFmtId="0" fontId="38" fillId="4" borderId="20" xfId="0" applyFont="1" applyFill="1" applyBorder="1" applyAlignment="1">
      <alignment horizontal="left"/>
    </xf>
    <xf numFmtId="173" fontId="38" fillId="4" borderId="20" xfId="0" applyNumberFormat="1" applyFont="1" applyFill="1" applyBorder="1" applyAlignment="1">
      <alignment horizontal="right"/>
    </xf>
    <xf numFmtId="172" fontId="39" fillId="4" borderId="20" xfId="0" applyNumberFormat="1" applyFont="1" applyFill="1" applyBorder="1" applyAlignment="1">
      <alignment horizontal="left"/>
    </xf>
    <xf numFmtId="44" fontId="0" fillId="4" borderId="20" xfId="0" applyNumberFormat="1" applyFill="1" applyBorder="1"/>
    <xf numFmtId="0" fontId="0" fillId="4" borderId="20" xfId="0" applyFill="1" applyBorder="1"/>
    <xf numFmtId="171" fontId="43" fillId="5" borderId="0" xfId="0" applyNumberFormat="1" applyFont="1" applyFill="1" applyAlignment="1">
      <alignment horizontal="right"/>
    </xf>
    <xf numFmtId="173" fontId="43" fillId="5" borderId="0" xfId="0" applyNumberFormat="1" applyFont="1" applyFill="1" applyAlignment="1">
      <alignment horizontal="right"/>
    </xf>
    <xf numFmtId="44" fontId="0" fillId="0" borderId="0" xfId="1" applyFont="1"/>
    <xf numFmtId="2" fontId="46" fillId="0" borderId="0" xfId="0" applyNumberFormat="1" applyFont="1" applyAlignment="1">
      <alignment horizontal="right"/>
    </xf>
    <xf numFmtId="2" fontId="45" fillId="0" borderId="0" xfId="0" applyNumberFormat="1" applyFont="1" applyAlignment="1">
      <alignment horizontal="right"/>
    </xf>
    <xf numFmtId="0" fontId="46" fillId="4" borderId="12" xfId="0" applyFont="1" applyFill="1" applyBorder="1"/>
    <xf numFmtId="0" fontId="46" fillId="4" borderId="20" xfId="0" applyFont="1" applyFill="1" applyBorder="1"/>
    <xf numFmtId="7" fontId="0" fillId="4" borderId="25" xfId="0" applyNumberFormat="1" applyFill="1" applyBorder="1"/>
    <xf numFmtId="0" fontId="0" fillId="0" borderId="12" xfId="0" applyBorder="1" applyAlignment="1">
      <alignment vertical="top"/>
    </xf>
    <xf numFmtId="0" fontId="45" fillId="0" borderId="7" xfId="0" applyFont="1" applyBorder="1"/>
    <xf numFmtId="0" fontId="0" fillId="6" borderId="12" xfId="0" applyFill="1" applyBorder="1"/>
    <xf numFmtId="0" fontId="38" fillId="6" borderId="21" xfId="0" applyFont="1" applyFill="1" applyBorder="1" applyAlignment="1">
      <alignment horizontal="center" vertical="center"/>
    </xf>
    <xf numFmtId="0" fontId="39" fillId="6" borderId="22" xfId="0" applyFont="1" applyFill="1" applyBorder="1" applyAlignment="1">
      <alignment horizontal="center" vertical="center"/>
    </xf>
    <xf numFmtId="171" fontId="38" fillId="6" borderId="0" xfId="0" applyNumberFormat="1" applyFont="1" applyFill="1" applyAlignment="1">
      <alignment horizontal="right"/>
    </xf>
    <xf numFmtId="173" fontId="38" fillId="6" borderId="12" xfId="0" applyNumberFormat="1" applyFont="1" applyFill="1" applyBorder="1" applyAlignment="1">
      <alignment horizontal="right"/>
    </xf>
    <xf numFmtId="171" fontId="40" fillId="6" borderId="22" xfId="0" applyNumberFormat="1" applyFont="1" applyFill="1" applyBorder="1" applyAlignment="1">
      <alignment horizontal="right"/>
    </xf>
    <xf numFmtId="171" fontId="38" fillId="6" borderId="12" xfId="0" applyNumberFormat="1" applyFont="1" applyFill="1" applyBorder="1" applyAlignment="1">
      <alignment horizontal="right"/>
    </xf>
    <xf numFmtId="171" fontId="40" fillId="6" borderId="12" xfId="0" applyNumberFormat="1" applyFont="1" applyFill="1" applyBorder="1" applyAlignment="1">
      <alignment horizontal="right"/>
    </xf>
    <xf numFmtId="173" fontId="40" fillId="6" borderId="22" xfId="0" applyNumberFormat="1" applyFont="1" applyFill="1" applyBorder="1" applyAlignment="1">
      <alignment horizontal="right"/>
    </xf>
    <xf numFmtId="173" fontId="40" fillId="6" borderId="12" xfId="0" applyNumberFormat="1" applyFont="1" applyFill="1" applyBorder="1" applyAlignment="1">
      <alignment horizontal="right"/>
    </xf>
    <xf numFmtId="171" fontId="40" fillId="6" borderId="23" xfId="0" applyNumberFormat="1" applyFont="1" applyFill="1" applyBorder="1" applyAlignment="1">
      <alignment horizontal="right"/>
    </xf>
    <xf numFmtId="173" fontId="43" fillId="6" borderId="0" xfId="0" applyNumberFormat="1" applyFont="1" applyFill="1" applyAlignment="1">
      <alignment horizontal="right"/>
    </xf>
    <xf numFmtId="173" fontId="38" fillId="6" borderId="20" xfId="0" applyNumberFormat="1" applyFont="1" applyFill="1" applyBorder="1" applyAlignment="1">
      <alignment horizontal="right"/>
    </xf>
    <xf numFmtId="171" fontId="41" fillId="6" borderId="22" xfId="0" applyNumberFormat="1" applyFont="1" applyFill="1" applyBorder="1" applyAlignment="1">
      <alignment horizontal="right"/>
    </xf>
    <xf numFmtId="171" fontId="40" fillId="6" borderId="27" xfId="0" applyNumberFormat="1" applyFont="1" applyFill="1" applyBorder="1" applyAlignment="1">
      <alignment horizontal="right"/>
    </xf>
    <xf numFmtId="171" fontId="40" fillId="6" borderId="26" xfId="0" applyNumberFormat="1" applyFont="1" applyFill="1" applyBorder="1" applyAlignment="1">
      <alignment horizontal="right"/>
    </xf>
    <xf numFmtId="7" fontId="0" fillId="6" borderId="12" xfId="0" applyNumberFormat="1" applyFill="1" applyBorder="1"/>
    <xf numFmtId="0" fontId="0" fillId="6" borderId="0" xfId="0" applyFill="1"/>
    <xf numFmtId="0" fontId="4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167" fontId="10" fillId="0" borderId="0" xfId="0" applyNumberFormat="1" applyFont="1"/>
    <xf numFmtId="0" fontId="10" fillId="0" borderId="20" xfId="0" applyFont="1" applyBorder="1"/>
    <xf numFmtId="166" fontId="5" fillId="0" borderId="20" xfId="0" applyNumberFormat="1" applyFont="1" applyBorder="1"/>
    <xf numFmtId="167" fontId="10" fillId="0" borderId="20" xfId="0" applyNumberFormat="1" applyFont="1" applyBorder="1"/>
    <xf numFmtId="165" fontId="2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66" fontId="4" fillId="0" borderId="0" xfId="0" applyNumberFormat="1" applyFont="1" applyAlignment="1">
      <alignment vertical="top"/>
    </xf>
    <xf numFmtId="166" fontId="4" fillId="0" borderId="0" xfId="0" applyNumberFormat="1" applyFont="1"/>
    <xf numFmtId="166" fontId="47" fillId="0" borderId="0" xfId="0" applyNumberFormat="1" applyFont="1"/>
    <xf numFmtId="166" fontId="2" fillId="0" borderId="0" xfId="0" applyNumberFormat="1" applyFont="1"/>
    <xf numFmtId="44" fontId="2" fillId="0" borderId="0" xfId="0" applyNumberFormat="1" applyFont="1"/>
    <xf numFmtId="165" fontId="5" fillId="0" borderId="0" xfId="0" applyNumberFormat="1" applyFont="1" applyAlignment="1">
      <alignment vertical="top"/>
    </xf>
    <xf numFmtId="44" fontId="5" fillId="0" borderId="0" xfId="0" applyNumberFormat="1" applyFont="1"/>
    <xf numFmtId="0" fontId="11" fillId="0" borderId="0" xfId="0" applyFont="1" applyAlignment="1">
      <alignment vertical="top"/>
    </xf>
    <xf numFmtId="166" fontId="5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167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/>
    </xf>
    <xf numFmtId="44" fontId="10" fillId="0" borderId="0" xfId="0" applyNumberFormat="1" applyFont="1"/>
    <xf numFmtId="0" fontId="12" fillId="0" borderId="0" xfId="0" applyFont="1"/>
    <xf numFmtId="44" fontId="10" fillId="0" borderId="20" xfId="0" applyNumberFormat="1" applyFont="1" applyBorder="1"/>
    <xf numFmtId="0" fontId="5" fillId="0" borderId="12" xfId="0" applyFont="1" applyBorder="1" applyAlignment="1">
      <alignment vertical="top"/>
    </xf>
    <xf numFmtId="0" fontId="13" fillId="0" borderId="0" xfId="0" applyFont="1" applyAlignment="1">
      <alignment horizontal="left"/>
    </xf>
    <xf numFmtId="166" fontId="13" fillId="0" borderId="0" xfId="0" applyNumberFormat="1" applyFont="1"/>
    <xf numFmtId="0" fontId="5" fillId="0" borderId="0" xfId="0" applyFont="1" applyAlignment="1">
      <alignment horizontal="left" vertical="top"/>
    </xf>
    <xf numFmtId="168" fontId="10" fillId="0" borderId="0" xfId="0" applyNumberFormat="1" applyFont="1"/>
    <xf numFmtId="0" fontId="5" fillId="0" borderId="12" xfId="0" applyFont="1" applyBorder="1"/>
    <xf numFmtId="165" fontId="0" fillId="0" borderId="12" xfId="0" applyNumberFormat="1" applyBorder="1" applyAlignment="1">
      <alignment vertical="top"/>
    </xf>
    <xf numFmtId="0" fontId="5" fillId="0" borderId="12" xfId="0" applyFont="1" applyBorder="1" applyAlignment="1">
      <alignment horizontal="center" vertical="center"/>
    </xf>
    <xf numFmtId="166" fontId="5" fillId="0" borderId="12" xfId="0" applyNumberFormat="1" applyFont="1" applyBorder="1"/>
    <xf numFmtId="166" fontId="0" fillId="0" borderId="12" xfId="0" applyNumberFormat="1" applyBorder="1"/>
    <xf numFmtId="0" fontId="0" fillId="0" borderId="12" xfId="0" applyBorder="1"/>
    <xf numFmtId="167" fontId="5" fillId="0" borderId="0" xfId="0" applyNumberFormat="1" applyFont="1"/>
    <xf numFmtId="0" fontId="42" fillId="0" borderId="0" xfId="0" applyFont="1"/>
    <xf numFmtId="0" fontId="2" fillId="0" borderId="12" xfId="0" applyFont="1" applyBorder="1" applyAlignment="1">
      <alignment vertical="top"/>
    </xf>
    <xf numFmtId="0" fontId="5" fillId="0" borderId="10" xfId="0" applyFont="1" applyBorder="1"/>
    <xf numFmtId="167" fontId="5" fillId="0" borderId="10" xfId="0" applyNumberFormat="1" applyFont="1" applyBorder="1"/>
    <xf numFmtId="166" fontId="4" fillId="0" borderId="0" xfId="0" applyNumberFormat="1" applyFont="1" applyAlignment="1">
      <alignment horizontal="center" vertical="top"/>
    </xf>
    <xf numFmtId="0" fontId="0" fillId="0" borderId="12" xfId="0" applyBorder="1" applyAlignment="1">
      <alignment horizontal="center" vertical="center"/>
    </xf>
    <xf numFmtId="166" fontId="4" fillId="0" borderId="12" xfId="0" applyNumberFormat="1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14" fillId="0" borderId="0" xfId="0" applyFont="1"/>
    <xf numFmtId="0" fontId="15" fillId="0" borderId="0" xfId="0" applyFont="1"/>
    <xf numFmtId="166" fontId="10" fillId="0" borderId="0" xfId="0" applyNumberFormat="1" applyFont="1"/>
    <xf numFmtId="0" fontId="16" fillId="0" borderId="0" xfId="0" applyFont="1"/>
    <xf numFmtId="166" fontId="14" fillId="0" borderId="0" xfId="0" applyNumberFormat="1" applyFont="1"/>
    <xf numFmtId="166" fontId="5" fillId="0" borderId="0" xfId="0" applyNumberFormat="1" applyFont="1" applyAlignment="1">
      <alignment horizontal="right"/>
    </xf>
    <xf numFmtId="167" fontId="14" fillId="0" borderId="0" xfId="0" applyNumberFormat="1" applyFont="1"/>
    <xf numFmtId="166" fontId="5" fillId="0" borderId="10" xfId="0" applyNumberFormat="1" applyFont="1" applyBorder="1" applyAlignment="1">
      <alignment horizontal="right"/>
    </xf>
    <xf numFmtId="169" fontId="0" fillId="0" borderId="0" xfId="0" applyNumberFormat="1" applyAlignment="1">
      <alignment vertical="top"/>
    </xf>
    <xf numFmtId="169" fontId="42" fillId="0" borderId="0" xfId="0" applyNumberFormat="1" applyFont="1" applyAlignment="1">
      <alignment vertical="top"/>
    </xf>
    <xf numFmtId="167" fontId="42" fillId="0" borderId="0" xfId="0" applyNumberFormat="1" applyFont="1" applyAlignment="1">
      <alignment vertical="top"/>
    </xf>
    <xf numFmtId="0" fontId="42" fillId="0" borderId="20" xfId="0" applyFont="1" applyBorder="1"/>
    <xf numFmtId="44" fontId="10" fillId="0" borderId="0" xfId="1" applyFont="1" applyFill="1"/>
    <xf numFmtId="166" fontId="4" fillId="0" borderId="0" xfId="0" applyNumberFormat="1" applyFont="1" applyAlignment="1">
      <alignment horizontal="right" vertical="top"/>
    </xf>
    <xf numFmtId="166" fontId="0" fillId="0" borderId="0" xfId="0" applyNumberFormat="1" applyAlignment="1">
      <alignment horizontal="right"/>
    </xf>
    <xf numFmtId="170" fontId="0" fillId="0" borderId="0" xfId="0" applyNumberFormat="1" applyAlignment="1">
      <alignment vertical="top"/>
    </xf>
    <xf numFmtId="0" fontId="5" fillId="0" borderId="0" xfId="0" applyFont="1" applyAlignment="1">
      <alignment horizontal="center" vertical="top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0" fillId="0" borderId="10" xfId="0" applyBorder="1"/>
    <xf numFmtId="165" fontId="5" fillId="0" borderId="10" xfId="0" applyNumberFormat="1" applyFont="1" applyBorder="1" applyAlignment="1">
      <alignment vertical="top"/>
    </xf>
    <xf numFmtId="0" fontId="5" fillId="0" borderId="10" xfId="0" applyFont="1" applyBorder="1" applyAlignment="1">
      <alignment horizontal="center" vertical="center"/>
    </xf>
    <xf numFmtId="166" fontId="5" fillId="0" borderId="10" xfId="0" applyNumberFormat="1" applyFont="1" applyBorder="1"/>
    <xf numFmtId="166" fontId="4" fillId="0" borderId="10" xfId="0" applyNumberFormat="1" applyFont="1" applyBorder="1" applyAlignment="1">
      <alignment vertical="top"/>
    </xf>
    <xf numFmtId="166" fontId="0" fillId="0" borderId="10" xfId="0" applyNumberFormat="1" applyBorder="1"/>
    <xf numFmtId="44" fontId="0" fillId="0" borderId="10" xfId="0" applyNumberFormat="1" applyBorder="1"/>
    <xf numFmtId="166" fontId="5" fillId="0" borderId="10" xfId="0" applyNumberFormat="1" applyFont="1" applyBorder="1" applyAlignment="1">
      <alignment horizontal="center" vertical="top"/>
    </xf>
    <xf numFmtId="166" fontId="1" fillId="0" borderId="10" xfId="0" applyNumberFormat="1" applyFont="1" applyBorder="1"/>
    <xf numFmtId="0" fontId="19" fillId="0" borderId="0" xfId="0" applyFont="1"/>
    <xf numFmtId="0" fontId="20" fillId="0" borderId="0" xfId="0" applyFont="1" applyAlignment="1">
      <alignment vertical="top"/>
    </xf>
    <xf numFmtId="165" fontId="21" fillId="0" borderId="0" xfId="0" applyNumberFormat="1" applyFont="1" applyAlignment="1">
      <alignment vertical="top"/>
    </xf>
    <xf numFmtId="167" fontId="2" fillId="0" borderId="0" xfId="0" applyNumberFormat="1" applyFont="1"/>
    <xf numFmtId="0" fontId="5" fillId="7" borderId="0" xfId="0" applyFont="1" applyFill="1" applyAlignment="1">
      <alignment vertical="top"/>
    </xf>
    <xf numFmtId="0" fontId="5" fillId="7" borderId="12" xfId="0" applyFont="1" applyFill="1" applyBorder="1" applyAlignment="1">
      <alignment vertical="top"/>
    </xf>
    <xf numFmtId="0" fontId="0" fillId="7" borderId="0" xfId="0" applyFill="1" applyAlignment="1">
      <alignment vertical="top"/>
    </xf>
    <xf numFmtId="0" fontId="4" fillId="7" borderId="0" xfId="0" applyFont="1" applyFill="1" applyAlignment="1">
      <alignment vertical="top"/>
    </xf>
    <xf numFmtId="10" fontId="7" fillId="0" borderId="8" xfId="0" applyNumberFormat="1" applyFont="1" applyBorder="1"/>
    <xf numFmtId="8" fontId="0" fillId="0" borderId="0" xfId="1" applyNumberFormat="1" applyFont="1"/>
    <xf numFmtId="171" fontId="44" fillId="5" borderId="28" xfId="0" applyNumberFormat="1" applyFont="1" applyFill="1" applyBorder="1" applyAlignment="1">
      <alignment horizontal="right"/>
    </xf>
    <xf numFmtId="171" fontId="38" fillId="4" borderId="20" xfId="0" applyNumberFormat="1" applyFont="1" applyFill="1" applyBorder="1" applyAlignment="1">
      <alignment horizontal="right"/>
    </xf>
    <xf numFmtId="171" fontId="38" fillId="6" borderId="20" xfId="0" applyNumberFormat="1" applyFont="1" applyFill="1" applyBorder="1" applyAlignment="1">
      <alignment horizontal="right"/>
    </xf>
    <xf numFmtId="0" fontId="43" fillId="5" borderId="0" xfId="0" applyFont="1" applyFill="1" applyAlignment="1">
      <alignment horizontal="left"/>
    </xf>
    <xf numFmtId="171" fontId="38" fillId="7" borderId="12" xfId="0" applyNumberFormat="1" applyFont="1" applyFill="1" applyBorder="1" applyAlignment="1">
      <alignment horizontal="right"/>
    </xf>
    <xf numFmtId="173" fontId="38" fillId="7" borderId="12" xfId="0" applyNumberFormat="1" applyFont="1" applyFill="1" applyBorder="1" applyAlignment="1">
      <alignment horizontal="right"/>
    </xf>
    <xf numFmtId="173" fontId="38" fillId="8" borderId="12" xfId="0" applyNumberFormat="1" applyFont="1" applyFill="1" applyBorder="1" applyAlignment="1">
      <alignment horizontal="right"/>
    </xf>
    <xf numFmtId="0" fontId="0" fillId="8" borderId="12" xfId="0" applyFill="1" applyBorder="1"/>
    <xf numFmtId="167" fontId="0" fillId="6" borderId="0" xfId="0" applyNumberFormat="1" applyFill="1"/>
    <xf numFmtId="167" fontId="39" fillId="4" borderId="12" xfId="0" applyNumberFormat="1" applyFont="1" applyFill="1" applyBorder="1" applyAlignment="1">
      <alignment horizontal="left"/>
    </xf>
    <xf numFmtId="7" fontId="43" fillId="5" borderId="0" xfId="0" applyNumberFormat="1" applyFont="1" applyFill="1" applyAlignment="1">
      <alignment horizontal="left"/>
    </xf>
    <xf numFmtId="7" fontId="39" fillId="4" borderId="12" xfId="0" applyNumberFormat="1" applyFont="1" applyFill="1" applyBorder="1" applyAlignment="1">
      <alignment horizontal="left"/>
    </xf>
    <xf numFmtId="7" fontId="0" fillId="6" borderId="20" xfId="0" applyNumberFormat="1" applyFill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6" fillId="0" borderId="7" xfId="0" applyFont="1" applyBorder="1" applyAlignment="1">
      <alignment horizontal="center" vertical="center"/>
    </xf>
    <xf numFmtId="0" fontId="0" fillId="0" borderId="0" xfId="0"/>
    <xf numFmtId="0" fontId="3" fillId="0" borderId="8" xfId="0" applyFont="1" applyBorder="1"/>
    <xf numFmtId="0" fontId="38" fillId="4" borderId="18" xfId="0" applyFont="1" applyFill="1" applyBorder="1" applyAlignment="1">
      <alignment horizontal="left"/>
    </xf>
    <xf numFmtId="0" fontId="3" fillId="0" borderId="19" xfId="0" applyFont="1" applyBorder="1"/>
    <xf numFmtId="0" fontId="3" fillId="0" borderId="20" xfId="0" applyFont="1" applyBorder="1"/>
    <xf numFmtId="0" fontId="36" fillId="4" borderId="18" xfId="0" applyFont="1" applyFill="1" applyBorder="1" applyAlignment="1">
      <alignment horizontal="center"/>
    </xf>
    <xf numFmtId="0" fontId="37" fillId="4" borderId="1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workbookViewId="0">
      <selection activeCell="F35" sqref="F35"/>
    </sheetView>
  </sheetViews>
  <sheetFormatPr defaultColWidth="14.44140625" defaultRowHeight="15" customHeight="1"/>
  <cols>
    <col min="1" max="1" width="30.88671875" customWidth="1"/>
    <col min="2" max="2" width="8.6640625" customWidth="1"/>
    <col min="3" max="3" width="14" customWidth="1"/>
    <col min="4" max="4" width="17.6640625" customWidth="1"/>
    <col min="5" max="5" width="8.6640625" customWidth="1"/>
    <col min="7" max="7" width="30.88671875" customWidth="1"/>
    <col min="8" max="8" width="8.6640625" customWidth="1"/>
    <col min="9" max="9" width="14" customWidth="1"/>
    <col min="10" max="10" width="17.6640625" customWidth="1"/>
    <col min="11" max="11" width="9" bestFit="1" customWidth="1"/>
    <col min="13" max="13" width="17.88671875" customWidth="1"/>
  </cols>
  <sheetData>
    <row r="1" spans="1:14" ht="14.25" customHeight="1">
      <c r="A1" s="224" t="s">
        <v>524</v>
      </c>
      <c r="B1" s="225"/>
      <c r="C1" s="225"/>
      <c r="D1" s="225"/>
      <c r="E1" s="226"/>
      <c r="G1" s="224" t="s">
        <v>535</v>
      </c>
      <c r="H1" s="225"/>
      <c r="I1" s="225"/>
      <c r="J1" s="225"/>
      <c r="K1" s="226"/>
    </row>
    <row r="2" spans="1:14" ht="14.25" customHeight="1">
      <c r="A2" s="227" t="s">
        <v>0</v>
      </c>
      <c r="B2" s="228"/>
      <c r="C2" s="228"/>
      <c r="D2" s="228"/>
      <c r="E2" s="229"/>
      <c r="F2" s="1"/>
      <c r="G2" s="227" t="s">
        <v>0</v>
      </c>
      <c r="H2" s="228"/>
      <c r="I2" s="228"/>
      <c r="J2" s="228"/>
      <c r="K2" s="229"/>
    </row>
    <row r="3" spans="1:14" ht="14.25" customHeight="1">
      <c r="A3" s="230" t="s">
        <v>1</v>
      </c>
      <c r="B3" s="231"/>
      <c r="C3" s="231"/>
      <c r="D3" s="231"/>
      <c r="E3" s="232"/>
      <c r="G3" s="230" t="s">
        <v>1</v>
      </c>
      <c r="H3" s="231"/>
      <c r="I3" s="231"/>
      <c r="J3" s="231"/>
      <c r="K3" s="232"/>
    </row>
    <row r="4" spans="1:14" ht="14.25" customHeight="1">
      <c r="A4" s="2" t="s">
        <v>2</v>
      </c>
      <c r="B4" s="1"/>
      <c r="C4" s="1"/>
      <c r="D4" s="3">
        <v>9368.8717499999984</v>
      </c>
      <c r="E4" s="4"/>
      <c r="G4" s="111" t="s">
        <v>525</v>
      </c>
      <c r="H4" s="1"/>
      <c r="I4" s="1"/>
      <c r="J4" s="3">
        <v>9529.2099999999991</v>
      </c>
      <c r="K4" s="209"/>
      <c r="L4" s="3"/>
      <c r="M4" s="1" t="s">
        <v>3</v>
      </c>
      <c r="N4" s="5">
        <v>9011.3700000000008</v>
      </c>
    </row>
    <row r="5" spans="1:14" ht="14.25" customHeight="1">
      <c r="A5" s="2"/>
      <c r="B5" s="1"/>
      <c r="C5" s="1"/>
      <c r="D5" s="6"/>
      <c r="E5" s="4"/>
      <c r="F5" s="1">
        <f>1585/1597.46</f>
        <v>0.99220011768682781</v>
      </c>
      <c r="G5" s="2"/>
      <c r="H5" s="1"/>
      <c r="I5" s="1"/>
      <c r="J5" s="6"/>
      <c r="K5" s="4"/>
      <c r="L5" s="28"/>
      <c r="M5" s="1" t="s">
        <v>4</v>
      </c>
      <c r="N5" s="7">
        <f>N4/8669.16</f>
        <v>1.0394744127458717</v>
      </c>
    </row>
    <row r="6" spans="1:14" ht="14.25" customHeight="1">
      <c r="A6" s="8" t="s">
        <v>5</v>
      </c>
      <c r="B6" s="9" t="s">
        <v>6</v>
      </c>
      <c r="C6" s="10" t="s">
        <v>534</v>
      </c>
      <c r="D6" s="11" t="s">
        <v>7</v>
      </c>
      <c r="E6" s="4"/>
      <c r="G6" s="8" t="s">
        <v>5</v>
      </c>
      <c r="H6" s="9" t="s">
        <v>6</v>
      </c>
      <c r="I6" s="10" t="s">
        <v>535</v>
      </c>
      <c r="J6" s="11" t="s">
        <v>7</v>
      </c>
      <c r="K6" s="4"/>
    </row>
    <row r="7" spans="1:14" ht="14.25" customHeight="1">
      <c r="A7" s="2" t="s">
        <v>8</v>
      </c>
      <c r="B7" s="12">
        <v>1</v>
      </c>
      <c r="C7" s="105">
        <v>888.81286542386033</v>
      </c>
      <c r="D7" s="14">
        <f t="shared" ref="D7:D24" si="0">+C7*B7</f>
        <v>888.81286542386033</v>
      </c>
      <c r="E7" s="4"/>
      <c r="G7" s="2" t="s">
        <v>8</v>
      </c>
      <c r="H7" s="12">
        <v>1</v>
      </c>
      <c r="I7" s="13">
        <v>854.82</v>
      </c>
      <c r="J7" s="14">
        <f t="shared" ref="J7:J24" si="1">+I7*H7</f>
        <v>854.82</v>
      </c>
      <c r="K7" s="4"/>
      <c r="M7" t="s">
        <v>9</v>
      </c>
      <c r="N7" s="5">
        <v>9011.3700000000008</v>
      </c>
    </row>
    <row r="8" spans="1:14" ht="14.25" customHeight="1">
      <c r="A8" s="2" t="s">
        <v>10</v>
      </c>
      <c r="B8" s="12">
        <v>2.6</v>
      </c>
      <c r="C8" s="106">
        <v>1.9844002353736556</v>
      </c>
      <c r="D8" s="14">
        <f t="shared" si="0"/>
        <v>5.1594406119715046</v>
      </c>
      <c r="E8" s="4"/>
      <c r="G8" s="2" t="s">
        <v>10</v>
      </c>
      <c r="H8" s="12">
        <v>2.6</v>
      </c>
      <c r="I8" s="13">
        <v>3.82</v>
      </c>
      <c r="J8" s="14">
        <f t="shared" si="1"/>
        <v>9.9320000000000004</v>
      </c>
      <c r="K8" s="4"/>
      <c r="M8" t="s">
        <v>4</v>
      </c>
      <c r="N8" s="15">
        <f>N7/8669.16</f>
        <v>1.0394744127458717</v>
      </c>
    </row>
    <row r="9" spans="1:14" ht="14.25" customHeight="1">
      <c r="A9" s="2" t="s">
        <v>11</v>
      </c>
      <c r="B9" s="12">
        <v>2.6</v>
      </c>
      <c r="C9" s="106">
        <v>80.140003505565076</v>
      </c>
      <c r="D9" s="14">
        <f t="shared" si="0"/>
        <v>208.36400911446921</v>
      </c>
      <c r="E9" s="4"/>
      <c r="G9" s="2" t="s">
        <v>11</v>
      </c>
      <c r="H9" s="12">
        <v>2.6</v>
      </c>
      <c r="I9" s="13">
        <f>72.51</f>
        <v>72.510000000000005</v>
      </c>
      <c r="J9" s="14">
        <f t="shared" si="1"/>
        <v>188.52600000000001</v>
      </c>
      <c r="K9" s="4"/>
    </row>
    <row r="10" spans="1:14" ht="14.25" customHeight="1">
      <c r="A10" s="2" t="s">
        <v>12</v>
      </c>
      <c r="B10" s="12">
        <v>2.6</v>
      </c>
      <c r="C10" s="106">
        <v>4.9510785872572711</v>
      </c>
      <c r="D10" s="14">
        <f t="shared" si="0"/>
        <v>12.872804326868906</v>
      </c>
      <c r="E10" s="4"/>
      <c r="G10" s="2" t="s">
        <v>12</v>
      </c>
      <c r="H10" s="12">
        <v>2.6</v>
      </c>
      <c r="I10" s="13">
        <v>4</v>
      </c>
      <c r="J10" s="14">
        <f t="shared" si="1"/>
        <v>10.4</v>
      </c>
      <c r="K10" s="4"/>
    </row>
    <row r="11" spans="1:14" ht="14.25" customHeight="1">
      <c r="A11" s="2" t="s">
        <v>13</v>
      </c>
      <c r="B11" s="12">
        <v>2.6</v>
      </c>
      <c r="C11" s="106">
        <v>1.9844002353736556</v>
      </c>
      <c r="D11" s="14">
        <f t="shared" si="0"/>
        <v>5.1594406119715046</v>
      </c>
      <c r="E11" s="4"/>
      <c r="G11" s="2" t="s">
        <v>13</v>
      </c>
      <c r="H11" s="12">
        <v>2.6</v>
      </c>
      <c r="I11" s="13">
        <v>3</v>
      </c>
      <c r="J11" s="14">
        <f t="shared" si="1"/>
        <v>7.8000000000000007</v>
      </c>
      <c r="K11" s="4"/>
    </row>
    <row r="12" spans="1:14" ht="14.25" customHeight="1">
      <c r="A12" s="2" t="s">
        <v>14</v>
      </c>
      <c r="B12" s="12">
        <v>2.6</v>
      </c>
      <c r="C12" s="106">
        <v>1.9844002353736556</v>
      </c>
      <c r="D12" s="14">
        <f t="shared" si="0"/>
        <v>5.1594406119715046</v>
      </c>
      <c r="E12" s="4"/>
      <c r="G12" s="2" t="s">
        <v>14</v>
      </c>
      <c r="H12" s="12">
        <v>2.6</v>
      </c>
      <c r="I12" s="13">
        <v>0</v>
      </c>
      <c r="J12" s="14">
        <f t="shared" si="1"/>
        <v>0</v>
      </c>
      <c r="K12" s="4"/>
    </row>
    <row r="13" spans="1:14" ht="14.25" customHeight="1">
      <c r="A13" s="2" t="s">
        <v>15</v>
      </c>
      <c r="B13" s="12">
        <v>2.6</v>
      </c>
      <c r="C13" s="106">
        <v>1.9844002353736556</v>
      </c>
      <c r="D13" s="14">
        <f t="shared" si="0"/>
        <v>5.1594406119715046</v>
      </c>
      <c r="E13" s="4"/>
      <c r="G13" s="2" t="s">
        <v>15</v>
      </c>
      <c r="H13" s="12">
        <v>2.6</v>
      </c>
      <c r="I13" s="13">
        <v>1</v>
      </c>
      <c r="J13" s="14">
        <f t="shared" si="1"/>
        <v>2.6</v>
      </c>
      <c r="K13" s="4"/>
    </row>
    <row r="14" spans="1:14" ht="14.25" customHeight="1">
      <c r="A14" s="2" t="s">
        <v>16</v>
      </c>
      <c r="B14" s="12">
        <v>2.6</v>
      </c>
      <c r="C14" s="106">
        <v>17.532176079526248</v>
      </c>
      <c r="D14" s="14">
        <f t="shared" si="0"/>
        <v>45.583657806768251</v>
      </c>
      <c r="E14" s="4"/>
      <c r="G14" s="2" t="s">
        <v>16</v>
      </c>
      <c r="H14" s="12">
        <v>2.6</v>
      </c>
      <c r="I14" s="13">
        <v>17</v>
      </c>
      <c r="J14" s="14">
        <f t="shared" si="1"/>
        <v>44.2</v>
      </c>
      <c r="K14" s="4"/>
    </row>
    <row r="15" spans="1:14" ht="14.25" customHeight="1">
      <c r="A15" s="2" t="s">
        <v>17</v>
      </c>
      <c r="B15" s="12">
        <v>2.6</v>
      </c>
      <c r="C15" s="106">
        <v>0</v>
      </c>
      <c r="D15" s="14">
        <f t="shared" si="0"/>
        <v>0</v>
      </c>
      <c r="E15" s="4"/>
      <c r="G15" s="2" t="s">
        <v>17</v>
      </c>
      <c r="H15" s="12">
        <v>2.6</v>
      </c>
      <c r="I15" s="13">
        <f t="shared" ref="I15:I18" si="2">+C15*$F$5</f>
        <v>0</v>
      </c>
      <c r="J15" s="14">
        <f t="shared" si="1"/>
        <v>0</v>
      </c>
      <c r="K15" s="4"/>
    </row>
    <row r="16" spans="1:14" ht="14.25" customHeight="1">
      <c r="A16" s="2" t="s">
        <v>18</v>
      </c>
      <c r="B16" s="12">
        <v>2.6</v>
      </c>
      <c r="C16" s="106">
        <v>5.1991286166789781</v>
      </c>
      <c r="D16" s="14">
        <f t="shared" si="0"/>
        <v>13.517734403365344</v>
      </c>
      <c r="E16" s="4"/>
      <c r="G16" s="2" t="s">
        <v>18</v>
      </c>
      <c r="H16" s="12">
        <v>2.6</v>
      </c>
      <c r="I16" s="13">
        <v>5.96</v>
      </c>
      <c r="J16" s="14">
        <f t="shared" si="1"/>
        <v>15.496</v>
      </c>
      <c r="K16" s="4"/>
    </row>
    <row r="17" spans="1:11" ht="14.25" customHeight="1">
      <c r="A17" s="2" t="s">
        <v>19</v>
      </c>
      <c r="B17" s="12">
        <v>1</v>
      </c>
      <c r="C17" s="106">
        <v>0.39688004707473112</v>
      </c>
      <c r="D17" s="14">
        <f t="shared" si="0"/>
        <v>0.39688004707473112</v>
      </c>
      <c r="E17" s="4"/>
      <c r="G17" s="2" t="s">
        <v>19</v>
      </c>
      <c r="H17" s="12">
        <v>1</v>
      </c>
      <c r="I17" s="13">
        <v>0</v>
      </c>
      <c r="J17" s="14">
        <f t="shared" si="1"/>
        <v>0</v>
      </c>
      <c r="K17" s="4"/>
    </row>
    <row r="18" spans="1:11" ht="14.25" customHeight="1">
      <c r="A18" s="2" t="s">
        <v>20</v>
      </c>
      <c r="B18" s="12">
        <v>2.6</v>
      </c>
      <c r="C18" s="105">
        <v>0</v>
      </c>
      <c r="D18" s="14">
        <f t="shared" si="0"/>
        <v>0</v>
      </c>
      <c r="E18" s="4"/>
      <c r="G18" s="2" t="s">
        <v>20</v>
      </c>
      <c r="H18" s="12">
        <v>2.6</v>
      </c>
      <c r="I18" s="13">
        <f t="shared" si="2"/>
        <v>0</v>
      </c>
      <c r="J18" s="14">
        <f t="shared" si="1"/>
        <v>0</v>
      </c>
      <c r="K18" s="4"/>
    </row>
    <row r="19" spans="1:11" ht="14.25" customHeight="1">
      <c r="A19" s="2" t="s">
        <v>21</v>
      </c>
      <c r="B19" s="12">
        <v>1.2</v>
      </c>
      <c r="C19" s="105">
        <v>580.0302667985427</v>
      </c>
      <c r="D19" s="14">
        <f t="shared" si="0"/>
        <v>696.03632015825121</v>
      </c>
      <c r="E19" s="4"/>
      <c r="G19" s="2" t="s">
        <v>21</v>
      </c>
      <c r="H19" s="12">
        <v>1.2</v>
      </c>
      <c r="I19" s="13">
        <v>626.16</v>
      </c>
      <c r="J19" s="14">
        <f t="shared" si="1"/>
        <v>751.39199999999994</v>
      </c>
      <c r="K19" s="4"/>
    </row>
    <row r="20" spans="1:11" ht="14.25" customHeight="1">
      <c r="A20" s="16" t="s">
        <v>22</v>
      </c>
      <c r="B20" s="17">
        <v>0.15</v>
      </c>
      <c r="C20" s="105">
        <v>608.64531819263073</v>
      </c>
      <c r="D20" s="14">
        <f t="shared" si="0"/>
        <v>91.296797728894603</v>
      </c>
      <c r="E20" s="4"/>
      <c r="G20" s="16" t="s">
        <v>22</v>
      </c>
      <c r="H20" s="17">
        <v>0.15</v>
      </c>
      <c r="I20" s="13">
        <v>623.07000000000005</v>
      </c>
      <c r="J20" s="14">
        <f t="shared" si="1"/>
        <v>93.46050000000001</v>
      </c>
      <c r="K20" s="4"/>
    </row>
    <row r="21" spans="1:11" ht="14.25" customHeight="1">
      <c r="A21" s="16" t="s">
        <v>23</v>
      </c>
      <c r="B21" s="17">
        <v>0.15</v>
      </c>
      <c r="C21" s="105">
        <v>331.80164135565212</v>
      </c>
      <c r="D21" s="14">
        <f t="shared" si="0"/>
        <v>49.770246203347817</v>
      </c>
      <c r="E21" s="4"/>
      <c r="G21" s="16" t="s">
        <v>23</v>
      </c>
      <c r="H21" s="17">
        <v>0.15</v>
      </c>
      <c r="I21" s="13">
        <v>289.2</v>
      </c>
      <c r="J21" s="14">
        <f t="shared" si="1"/>
        <v>43.379999999999995</v>
      </c>
      <c r="K21" s="4"/>
    </row>
    <row r="22" spans="1:11" ht="14.25" customHeight="1">
      <c r="A22" s="16" t="s">
        <v>24</v>
      </c>
      <c r="B22" s="17">
        <v>0</v>
      </c>
      <c r="C22" s="105">
        <v>87.958540432937298</v>
      </c>
      <c r="D22" s="14">
        <f t="shared" si="0"/>
        <v>0</v>
      </c>
      <c r="E22" s="4"/>
      <c r="G22" s="16" t="s">
        <v>24</v>
      </c>
      <c r="H22" s="17">
        <v>0</v>
      </c>
      <c r="I22" s="13">
        <v>97.76</v>
      </c>
      <c r="J22" s="14">
        <f t="shared" si="1"/>
        <v>0</v>
      </c>
      <c r="K22" s="4"/>
    </row>
    <row r="23" spans="1:11" ht="14.25" customHeight="1">
      <c r="A23" s="16" t="s">
        <v>25</v>
      </c>
      <c r="B23" s="17">
        <v>0.15</v>
      </c>
      <c r="C23" s="105">
        <v>15.339413819438359</v>
      </c>
      <c r="D23" s="14">
        <f t="shared" si="0"/>
        <v>2.3009120729157537</v>
      </c>
      <c r="E23" s="4"/>
      <c r="G23" s="16" t="s">
        <v>25</v>
      </c>
      <c r="H23" s="17">
        <v>0.15</v>
      </c>
      <c r="I23" s="13">
        <v>20</v>
      </c>
      <c r="J23" s="14">
        <f t="shared" si="1"/>
        <v>3</v>
      </c>
      <c r="K23" s="4"/>
    </row>
    <row r="24" spans="1:11" ht="14.25" customHeight="1">
      <c r="A24" s="16" t="s">
        <v>26</v>
      </c>
      <c r="B24" s="17">
        <v>0.5</v>
      </c>
      <c r="C24" s="105">
        <v>573.28330599827223</v>
      </c>
      <c r="D24" s="14">
        <f t="shared" si="0"/>
        <v>286.64165299913611</v>
      </c>
      <c r="E24" s="4"/>
      <c r="G24" s="16" t="s">
        <v>26</v>
      </c>
      <c r="H24" s="17">
        <v>0.5</v>
      </c>
      <c r="I24" s="13">
        <v>579.71</v>
      </c>
      <c r="J24" s="14">
        <f t="shared" si="1"/>
        <v>289.85500000000002</v>
      </c>
      <c r="K24" s="4"/>
    </row>
    <row r="25" spans="1:11" ht="14.25" customHeight="1">
      <c r="A25" s="18" t="s">
        <v>27</v>
      </c>
      <c r="B25" s="13"/>
      <c r="C25" s="19">
        <f>SUM(C7:C19)</f>
        <v>1585</v>
      </c>
      <c r="D25" s="19">
        <f>SUM(D7:D24)</f>
        <v>2316.2316427328387</v>
      </c>
      <c r="E25" s="4"/>
      <c r="G25" s="18" t="s">
        <v>27</v>
      </c>
      <c r="H25" s="13"/>
      <c r="I25" s="19">
        <f>SUM(I7:I19)</f>
        <v>1588.27</v>
      </c>
      <c r="J25" s="19">
        <f>SUM(J7:J24)</f>
        <v>2314.8615</v>
      </c>
      <c r="K25" s="4"/>
    </row>
    <row r="26" spans="1:11" ht="14.25" customHeight="1">
      <c r="A26" s="18"/>
      <c r="B26" s="13"/>
      <c r="C26" s="19"/>
      <c r="D26" s="20"/>
      <c r="E26" s="4"/>
      <c r="G26" s="18"/>
      <c r="H26" s="13"/>
      <c r="I26" s="19"/>
      <c r="J26" s="20"/>
      <c r="K26" s="4"/>
    </row>
    <row r="27" spans="1:11" ht="14.25" customHeight="1">
      <c r="A27" s="21" t="s">
        <v>28</v>
      </c>
      <c r="B27" s="22"/>
      <c r="C27" s="19">
        <f>SUM(C25:C26)</f>
        <v>1585</v>
      </c>
      <c r="D27" s="23">
        <f>+D25*D4</f>
        <v>21700477.204055782</v>
      </c>
      <c r="E27" s="24"/>
      <c r="G27" s="21" t="s">
        <v>28</v>
      </c>
      <c r="H27" s="22"/>
      <c r="I27" s="19">
        <f>I25</f>
        <v>1588.27</v>
      </c>
      <c r="J27" s="23">
        <f>+J25*J4</f>
        <v>22058801.354414999</v>
      </c>
      <c r="K27" s="24"/>
    </row>
    <row r="28" spans="1:11" ht="14.25" customHeight="1">
      <c r="A28" s="25"/>
      <c r="B28" s="26"/>
      <c r="C28" s="26"/>
      <c r="D28" s="26"/>
      <c r="E28" s="27"/>
      <c r="G28" s="25"/>
      <c r="H28" s="26"/>
      <c r="I28" s="26"/>
      <c r="J28" s="26"/>
      <c r="K28" s="27"/>
    </row>
    <row r="29" spans="1:11" ht="14.25" customHeight="1">
      <c r="A29" s="28"/>
      <c r="B29" s="29"/>
      <c r="D29" s="3"/>
      <c r="G29" s="28"/>
      <c r="H29" s="29"/>
      <c r="J29" s="3"/>
    </row>
    <row r="30" spans="1:11" ht="14.25" customHeight="1">
      <c r="D30" s="28"/>
      <c r="J30" s="210">
        <f>J27-D27</f>
        <v>358324.15035921708</v>
      </c>
    </row>
    <row r="31" spans="1:11" ht="14.25" customHeight="1">
      <c r="J31" s="28"/>
    </row>
    <row r="32" spans="1:11" ht="14.25" customHeight="1">
      <c r="D32" s="28"/>
      <c r="J32" s="28"/>
    </row>
    <row r="33" spans="3:11" ht="14.25" customHeight="1"/>
    <row r="34" spans="3:11" ht="14.25" customHeight="1">
      <c r="C34" s="5"/>
    </row>
    <row r="35" spans="3:11" ht="14.25" customHeight="1">
      <c r="C35" s="5"/>
    </row>
    <row r="36" spans="3:11" ht="14.25" customHeight="1">
      <c r="C36" s="5"/>
      <c r="D36" s="5"/>
    </row>
    <row r="37" spans="3:11" ht="14.25" customHeight="1">
      <c r="C37" s="5"/>
    </row>
    <row r="38" spans="3:11" ht="14.25" customHeight="1">
      <c r="C38" s="5"/>
    </row>
    <row r="39" spans="3:11" ht="14.25" customHeight="1">
      <c r="C39" s="5"/>
    </row>
    <row r="40" spans="3:11" ht="14.25" customHeight="1">
      <c r="C40" s="5"/>
    </row>
    <row r="41" spans="3:11" ht="14.25" customHeight="1">
      <c r="C41" s="5"/>
    </row>
    <row r="42" spans="3:11" ht="14.25" customHeight="1">
      <c r="C42" s="5"/>
    </row>
    <row r="43" spans="3:11" ht="14.25" customHeight="1"/>
    <row r="44" spans="3:11" ht="14.25" customHeight="1">
      <c r="D44" s="15"/>
      <c r="E44" s="15"/>
      <c r="J44" s="15"/>
      <c r="K44" s="15"/>
    </row>
    <row r="45" spans="3:11" ht="14.25" customHeight="1">
      <c r="D45" s="15"/>
      <c r="E45" s="30"/>
      <c r="J45" s="15"/>
      <c r="K45" s="30"/>
    </row>
    <row r="46" spans="3:11" ht="14.25" customHeight="1">
      <c r="D46" s="15"/>
      <c r="E46" s="15"/>
      <c r="J46" s="15"/>
      <c r="K46" s="15"/>
    </row>
    <row r="47" spans="3:11" ht="14.25" customHeight="1"/>
    <row r="48" spans="3:1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E1"/>
    <mergeCell ref="G1:K1"/>
    <mergeCell ref="A2:E2"/>
    <mergeCell ref="G2:K2"/>
    <mergeCell ref="A3:E3"/>
    <mergeCell ref="G3:K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996"/>
  <sheetViews>
    <sheetView workbookViewId="0">
      <pane ySplit="1" topLeftCell="A202" activePane="bottomLeft" state="frozen"/>
      <selection pane="bottomLeft" activeCell="I230" sqref="I230"/>
    </sheetView>
  </sheetViews>
  <sheetFormatPr defaultColWidth="14.44140625" defaultRowHeight="15" customHeight="1"/>
  <cols>
    <col min="1" max="1" width="20.44140625" customWidth="1"/>
    <col min="2" max="2" width="18.33203125" customWidth="1"/>
    <col min="3" max="3" width="2.109375" customWidth="1"/>
    <col min="4" max="4" width="24.6640625" customWidth="1"/>
    <col min="5" max="5" width="29.33203125" customWidth="1"/>
    <col min="6" max="6" width="17.33203125" customWidth="1"/>
    <col min="7" max="7" width="11.44140625" customWidth="1"/>
    <col min="8" max="8" width="11" customWidth="1"/>
    <col min="9" max="9" width="11.109375" customWidth="1"/>
    <col min="10" max="10" width="2.6640625" customWidth="1"/>
    <col min="11" max="11" width="16.109375" hidden="1" customWidth="1"/>
    <col min="12" max="12" width="3.44140625" hidden="1" customWidth="1"/>
    <col min="13" max="13" width="16.109375" hidden="1" customWidth="1"/>
    <col min="14" max="14" width="16.109375" customWidth="1"/>
    <col min="15" max="15" width="11.88671875" customWidth="1"/>
    <col min="16" max="16" width="13.109375" customWidth="1"/>
    <col min="17" max="17" width="10.44140625" customWidth="1"/>
    <col min="18" max="18" width="11.5546875" customWidth="1"/>
    <col min="19" max="19" width="12" customWidth="1"/>
    <col min="21" max="21" width="18" customWidth="1"/>
    <col min="22" max="22" width="14.5546875" customWidth="1"/>
    <col min="23" max="23" width="18.33203125" customWidth="1"/>
    <col min="24" max="24" width="14" customWidth="1"/>
    <col min="25" max="25" width="16.5546875" customWidth="1"/>
    <col min="26" max="26" width="17.109375" customWidth="1"/>
    <col min="27" max="27" width="10.33203125" customWidth="1"/>
  </cols>
  <sheetData>
    <row r="1" spans="1:38" ht="45" customHeight="1">
      <c r="A1" s="31" t="s">
        <v>29</v>
      </c>
      <c r="B1" s="31" t="s">
        <v>30</v>
      </c>
      <c r="C1" s="32"/>
      <c r="D1" s="31" t="s">
        <v>31</v>
      </c>
      <c r="E1" s="31" t="s">
        <v>32</v>
      </c>
      <c r="F1" s="31" t="s">
        <v>501</v>
      </c>
      <c r="G1" s="33" t="s">
        <v>33</v>
      </c>
      <c r="H1" s="33" t="s">
        <v>34</v>
      </c>
      <c r="I1" s="34" t="s">
        <v>35</v>
      </c>
      <c r="J1" s="35"/>
      <c r="K1" s="35" t="s">
        <v>36</v>
      </c>
      <c r="L1" s="35" t="s">
        <v>37</v>
      </c>
      <c r="M1" s="35" t="s">
        <v>38</v>
      </c>
      <c r="N1" s="35" t="s">
        <v>496</v>
      </c>
      <c r="O1" s="35" t="s">
        <v>39</v>
      </c>
      <c r="P1" s="35" t="s">
        <v>40</v>
      </c>
      <c r="Q1" s="35" t="s">
        <v>41</v>
      </c>
      <c r="R1" s="35" t="s">
        <v>42</v>
      </c>
      <c r="S1" s="35" t="s">
        <v>43</v>
      </c>
      <c r="T1" s="35" t="s">
        <v>44</v>
      </c>
      <c r="U1" s="35" t="s">
        <v>45</v>
      </c>
      <c r="V1" s="35" t="s">
        <v>502</v>
      </c>
      <c r="W1" s="35" t="s">
        <v>503</v>
      </c>
      <c r="X1" s="35" t="s">
        <v>504</v>
      </c>
      <c r="Y1" s="35" t="s">
        <v>505</v>
      </c>
      <c r="Z1" s="35" t="s">
        <v>506</v>
      </c>
      <c r="AA1" s="31" t="s">
        <v>46</v>
      </c>
      <c r="AC1" s="5"/>
      <c r="AD1" s="5"/>
      <c r="AE1" s="5"/>
    </row>
    <row r="2" spans="1:38" ht="14.25" customHeight="1">
      <c r="A2" s="1" t="s">
        <v>47</v>
      </c>
      <c r="B2" s="1" t="s">
        <v>48</v>
      </c>
      <c r="C2" s="1"/>
      <c r="D2" s="36" t="s">
        <v>49</v>
      </c>
      <c r="E2" s="205" t="s">
        <v>50</v>
      </c>
      <c r="F2" s="38">
        <f>SUM(N2:T2)</f>
        <v>83097.712000000014</v>
      </c>
      <c r="G2" s="39" t="s">
        <v>51</v>
      </c>
      <c r="H2" s="39">
        <v>19</v>
      </c>
      <c r="I2" s="130">
        <v>210</v>
      </c>
      <c r="J2" s="40"/>
      <c r="K2" s="40">
        <v>70324.570000000007</v>
      </c>
      <c r="L2" s="40">
        <v>74605.600000000006</v>
      </c>
      <c r="M2" s="40"/>
      <c r="N2" s="131">
        <f>(+L2*1.02)+2000</f>
        <v>78097.712000000014</v>
      </c>
      <c r="O2" s="41"/>
      <c r="P2" s="40">
        <v>4000</v>
      </c>
      <c r="Q2" s="41"/>
      <c r="R2" s="41"/>
      <c r="S2" s="132"/>
      <c r="T2" s="132">
        <v>1000</v>
      </c>
      <c r="U2" s="40">
        <v>9259.768</v>
      </c>
      <c r="V2" s="40">
        <f t="shared" ref="V2:V3" si="0">+U2*1.03</f>
        <v>9537.5610400000005</v>
      </c>
      <c r="W2" s="42">
        <f>+(F2)*0.2381</f>
        <v>19785.565227200004</v>
      </c>
      <c r="X2" s="40">
        <f>F2*0.0765</f>
        <v>6356.9749680000014</v>
      </c>
      <c r="Y2" s="42">
        <f>F2*0.001</f>
        <v>83.097712000000016</v>
      </c>
      <c r="Z2" s="42">
        <f>F2+SUM(V2:Y2)</f>
        <v>118860.91094720003</v>
      </c>
      <c r="AC2" s="5"/>
      <c r="AD2" s="5"/>
      <c r="AE2" s="5"/>
    </row>
    <row r="3" spans="1:38" ht="14.25" customHeight="1">
      <c r="A3" s="1" t="s">
        <v>47</v>
      </c>
      <c r="B3" s="1" t="s">
        <v>48</v>
      </c>
      <c r="C3" s="1"/>
      <c r="D3" s="36" t="s">
        <v>52</v>
      </c>
      <c r="E3" s="37" t="s">
        <v>513</v>
      </c>
      <c r="F3" s="38">
        <f>SUM(N3:T3)</f>
        <v>66584.289999999994</v>
      </c>
      <c r="G3" s="39" t="s">
        <v>51</v>
      </c>
      <c r="H3" s="39">
        <v>19</v>
      </c>
      <c r="I3" s="130">
        <v>190</v>
      </c>
      <c r="J3" s="40"/>
      <c r="K3" s="40">
        <v>60000</v>
      </c>
      <c r="L3" s="40">
        <v>60000</v>
      </c>
      <c r="M3" s="40"/>
      <c r="N3" s="131">
        <v>66584.289999999994</v>
      </c>
      <c r="O3" s="133"/>
      <c r="P3" s="134"/>
      <c r="Q3" s="133"/>
      <c r="R3" s="133"/>
      <c r="S3" s="135"/>
      <c r="T3" s="135"/>
      <c r="U3" s="40">
        <v>9259.768</v>
      </c>
      <c r="V3" s="40">
        <f t="shared" si="0"/>
        <v>9537.5610400000005</v>
      </c>
      <c r="W3" s="42">
        <f>+(F3)*0.2381</f>
        <v>15853.719448999998</v>
      </c>
      <c r="X3" s="40">
        <f>F3*0.0765</f>
        <v>5093.6981849999993</v>
      </c>
      <c r="Y3" s="42">
        <f>F3*0.001</f>
        <v>66.584289999999996</v>
      </c>
      <c r="Z3" s="42">
        <f>F3+SUM(V3:Y3)</f>
        <v>97135.852963999991</v>
      </c>
      <c r="AC3" s="5"/>
      <c r="AD3" s="5"/>
      <c r="AE3" s="5"/>
    </row>
    <row r="4" spans="1:38" ht="14.25" customHeight="1">
      <c r="A4" s="22"/>
      <c r="B4" s="22"/>
      <c r="C4" s="22"/>
      <c r="D4" s="136"/>
      <c r="E4" s="137" t="s">
        <v>53</v>
      </c>
      <c r="F4" s="138">
        <f>SUM(F2:F3)</f>
        <v>149682.00200000001</v>
      </c>
      <c r="G4" s="130"/>
      <c r="H4" s="130"/>
      <c r="I4" s="130"/>
      <c r="J4" s="139"/>
      <c r="K4" s="139">
        <f t="shared" ref="K4:W4" si="1">SUM(K2:K3)</f>
        <v>130324.57</v>
      </c>
      <c r="L4" s="139">
        <f t="shared" si="1"/>
        <v>134605.6</v>
      </c>
      <c r="M4" s="139">
        <f t="shared" ref="M4" si="2">SUM(M2:M3)</f>
        <v>0</v>
      </c>
      <c r="N4" s="140">
        <f>SUM(N2:N3)</f>
        <v>144682.00200000001</v>
      </c>
      <c r="O4" s="139">
        <f t="shared" si="1"/>
        <v>0</v>
      </c>
      <c r="P4" s="139">
        <f t="shared" si="1"/>
        <v>4000</v>
      </c>
      <c r="Q4" s="139">
        <f t="shared" si="1"/>
        <v>0</v>
      </c>
      <c r="R4" s="139">
        <f t="shared" si="1"/>
        <v>0</v>
      </c>
      <c r="S4" s="139">
        <f t="shared" si="1"/>
        <v>0</v>
      </c>
      <c r="T4" s="139">
        <f t="shared" si="1"/>
        <v>1000</v>
      </c>
      <c r="U4" s="139">
        <f t="shared" si="1"/>
        <v>18519.536</v>
      </c>
      <c r="V4" s="139">
        <f t="shared" si="1"/>
        <v>19075.122080000001</v>
      </c>
      <c r="W4" s="139">
        <f t="shared" si="1"/>
        <v>35639.284676200004</v>
      </c>
      <c r="X4" s="139">
        <f t="shared" ref="X4:Z4" si="3">SUM(X2:X3)</f>
        <v>11450.673153</v>
      </c>
      <c r="Y4" s="141">
        <f t="shared" si="3"/>
        <v>149.68200200000001</v>
      </c>
      <c r="Z4" s="141">
        <f t="shared" si="3"/>
        <v>215996.76391120002</v>
      </c>
      <c r="AA4" s="29"/>
      <c r="AB4" s="29"/>
      <c r="AC4" s="142"/>
      <c r="AD4" s="142"/>
      <c r="AE4" s="142"/>
      <c r="AF4" s="29"/>
      <c r="AG4" s="29"/>
      <c r="AH4" s="29"/>
      <c r="AI4" s="29"/>
      <c r="AJ4" s="29"/>
      <c r="AK4" s="29"/>
      <c r="AL4" s="29"/>
    </row>
    <row r="5" spans="1:38" ht="14.25" customHeight="1">
      <c r="A5" s="1"/>
      <c r="B5" s="1"/>
      <c r="C5" s="1"/>
      <c r="D5" s="36"/>
      <c r="E5" s="37"/>
      <c r="F5" s="38"/>
      <c r="G5" s="39"/>
      <c r="H5" s="39"/>
      <c r="I5" s="39"/>
      <c r="J5" s="40"/>
      <c r="K5" s="40"/>
      <c r="L5" s="40"/>
      <c r="M5" s="40"/>
      <c r="N5" s="40"/>
      <c r="O5" s="40"/>
      <c r="P5" s="41"/>
      <c r="Q5" s="41"/>
      <c r="R5" s="41"/>
      <c r="S5" s="132"/>
      <c r="T5" s="132"/>
      <c r="U5" s="40"/>
      <c r="V5" s="40"/>
      <c r="W5" s="42"/>
      <c r="X5" s="40"/>
      <c r="Y5" s="42"/>
      <c r="Z5" s="42"/>
      <c r="AC5" s="5"/>
      <c r="AD5" s="5"/>
      <c r="AE5" s="5"/>
    </row>
    <row r="6" spans="1:38" ht="14.25" customHeight="1">
      <c r="A6" s="1" t="s">
        <v>47</v>
      </c>
      <c r="B6" s="1" t="s">
        <v>48</v>
      </c>
      <c r="C6" s="1"/>
      <c r="D6" s="36" t="s">
        <v>54</v>
      </c>
      <c r="E6" s="205" t="s">
        <v>55</v>
      </c>
      <c r="F6" s="38">
        <f t="shared" ref="F6:F18" si="4">SUM(N6:T6)</f>
        <v>92347.93</v>
      </c>
      <c r="G6" s="39" t="s">
        <v>56</v>
      </c>
      <c r="H6" s="39">
        <v>24</v>
      </c>
      <c r="I6" s="39">
        <v>190</v>
      </c>
      <c r="J6" s="40"/>
      <c r="K6" s="40">
        <v>69206</v>
      </c>
      <c r="L6" s="40">
        <v>78646.34</v>
      </c>
      <c r="M6" s="40"/>
      <c r="N6" s="131">
        <v>81847.929999999993</v>
      </c>
      <c r="O6" s="40">
        <v>7500</v>
      </c>
      <c r="P6" s="41"/>
      <c r="Q6" s="41"/>
      <c r="R6" s="41"/>
      <c r="S6" s="132">
        <v>500</v>
      </c>
      <c r="T6" s="132">
        <v>2500</v>
      </c>
      <c r="U6" s="40">
        <v>9259.768</v>
      </c>
      <c r="V6" s="40">
        <f t="shared" ref="V6:V18" si="5">+U6*1.03</f>
        <v>9537.5610400000005</v>
      </c>
      <c r="W6" s="42">
        <f t="shared" ref="W6:W18" si="6">+(F6)*0.2381</f>
        <v>21988.042132999999</v>
      </c>
      <c r="X6" s="40">
        <f t="shared" ref="X6:X18" si="7">F6*0.0765</f>
        <v>7064.6166449999992</v>
      </c>
      <c r="Y6" s="42">
        <f t="shared" ref="Y6:Y18" si="8">F6*0.001</f>
        <v>92.347929999999991</v>
      </c>
      <c r="Z6" s="42">
        <f t="shared" ref="Z6:Z18" si="9">F6+SUM(V6:Y6)</f>
        <v>131030.49774799999</v>
      </c>
      <c r="AC6" s="5"/>
      <c r="AD6" s="5"/>
      <c r="AE6" s="5"/>
    </row>
    <row r="7" spans="1:38" ht="14.25" customHeight="1">
      <c r="A7" s="1" t="s">
        <v>47</v>
      </c>
      <c r="B7" s="1" t="s">
        <v>48</v>
      </c>
      <c r="C7" s="1"/>
      <c r="D7" s="143" t="s">
        <v>57</v>
      </c>
      <c r="E7" s="110" t="s">
        <v>58</v>
      </c>
      <c r="F7" s="38">
        <f t="shared" si="4"/>
        <v>56262.27</v>
      </c>
      <c r="G7" s="39" t="s">
        <v>51</v>
      </c>
      <c r="H7" s="39">
        <v>6</v>
      </c>
      <c r="I7" s="39">
        <v>190</v>
      </c>
      <c r="J7" s="38"/>
      <c r="K7" s="38">
        <v>50000</v>
      </c>
      <c r="L7" s="40">
        <v>53201.38</v>
      </c>
      <c r="M7" s="40"/>
      <c r="N7" s="131">
        <v>56262.27</v>
      </c>
      <c r="O7" s="41"/>
      <c r="P7" s="41"/>
      <c r="Q7" s="41"/>
      <c r="R7" s="41"/>
      <c r="S7" s="132"/>
      <c r="T7" s="41"/>
      <c r="U7" s="40">
        <v>4770.78</v>
      </c>
      <c r="V7" s="40">
        <f t="shared" si="5"/>
        <v>4913.9034000000001</v>
      </c>
      <c r="W7" s="42">
        <f t="shared" si="6"/>
        <v>13396.046487</v>
      </c>
      <c r="X7" s="40">
        <f t="shared" si="7"/>
        <v>4304.0636549999999</v>
      </c>
      <c r="Y7" s="42">
        <f t="shared" si="8"/>
        <v>56.262270000000001</v>
      </c>
      <c r="Z7" s="42">
        <f t="shared" si="9"/>
        <v>78932.545811999997</v>
      </c>
      <c r="AA7" s="1"/>
      <c r="AB7" s="1"/>
      <c r="AC7" s="144"/>
      <c r="AD7" s="144"/>
      <c r="AE7" s="144"/>
      <c r="AF7" s="1"/>
      <c r="AG7" s="1"/>
      <c r="AH7" s="1"/>
      <c r="AI7" s="1"/>
      <c r="AJ7" s="1"/>
      <c r="AK7" s="1"/>
      <c r="AL7" s="1"/>
    </row>
    <row r="8" spans="1:38" ht="14.25" customHeight="1">
      <c r="A8" s="1" t="s">
        <v>47</v>
      </c>
      <c r="B8" s="1" t="s">
        <v>48</v>
      </c>
      <c r="C8" s="1"/>
      <c r="D8" s="36" t="s">
        <v>54</v>
      </c>
      <c r="E8" s="37" t="s">
        <v>59</v>
      </c>
      <c r="F8" s="38">
        <f t="shared" si="4"/>
        <v>86509.387999999992</v>
      </c>
      <c r="G8" s="39" t="s">
        <v>51</v>
      </c>
      <c r="H8" s="39">
        <v>27</v>
      </c>
      <c r="I8" s="39">
        <v>190</v>
      </c>
      <c r="J8" s="40"/>
      <c r="K8" s="40">
        <v>71425</v>
      </c>
      <c r="L8" s="40">
        <v>75499.399999999994</v>
      </c>
      <c r="M8" s="40"/>
      <c r="N8" s="131">
        <f>(+L8*1.02)+2000</f>
        <v>79009.387999999992</v>
      </c>
      <c r="O8" s="40">
        <v>7500</v>
      </c>
      <c r="P8" s="41"/>
      <c r="Q8" s="41"/>
      <c r="R8" s="41"/>
      <c r="S8" s="132"/>
      <c r="T8" s="41"/>
      <c r="U8" s="40">
        <v>7218.848</v>
      </c>
      <c r="V8" s="40">
        <f t="shared" si="5"/>
        <v>7435.4134400000003</v>
      </c>
      <c r="W8" s="42">
        <f t="shared" si="6"/>
        <v>20597.885282799998</v>
      </c>
      <c r="X8" s="40">
        <f t="shared" si="7"/>
        <v>6617.9681819999996</v>
      </c>
      <c r="Y8" s="42">
        <f t="shared" si="8"/>
        <v>86.509387999999987</v>
      </c>
      <c r="Z8" s="42">
        <f t="shared" si="9"/>
        <v>121247.16429279998</v>
      </c>
      <c r="AC8" s="5"/>
      <c r="AD8" s="5"/>
      <c r="AE8" s="5"/>
    </row>
    <row r="9" spans="1:38" ht="14.25" customHeight="1">
      <c r="A9" s="1" t="s">
        <v>47</v>
      </c>
      <c r="B9" s="1" t="s">
        <v>48</v>
      </c>
      <c r="C9" s="1"/>
      <c r="D9" s="36" t="s">
        <v>54</v>
      </c>
      <c r="E9" s="145" t="s">
        <v>514</v>
      </c>
      <c r="F9" s="38">
        <f t="shared" si="4"/>
        <v>44679.77</v>
      </c>
      <c r="G9" s="146" t="s">
        <v>51</v>
      </c>
      <c r="H9" s="39">
        <v>3</v>
      </c>
      <c r="I9" s="39">
        <v>190</v>
      </c>
      <c r="J9" s="138"/>
      <c r="K9" s="38">
        <v>46694</v>
      </c>
      <c r="L9" s="40">
        <v>50032.06</v>
      </c>
      <c r="M9" s="40"/>
      <c r="N9" s="131">
        <v>44679.77</v>
      </c>
      <c r="O9" s="138"/>
      <c r="P9" s="138"/>
      <c r="Q9" s="138"/>
      <c r="R9" s="138"/>
      <c r="S9" s="138"/>
      <c r="T9" s="138"/>
      <c r="U9" s="40">
        <v>9259.77</v>
      </c>
      <c r="V9" s="40">
        <f t="shared" si="5"/>
        <v>9537.5631000000012</v>
      </c>
      <c r="W9" s="42">
        <f t="shared" si="6"/>
        <v>10638.253236999999</v>
      </c>
      <c r="X9" s="40">
        <f t="shared" si="7"/>
        <v>3418.0024049999997</v>
      </c>
      <c r="Y9" s="42">
        <f t="shared" si="8"/>
        <v>44.679769999999998</v>
      </c>
      <c r="Z9" s="42">
        <f t="shared" si="9"/>
        <v>68318.268511999995</v>
      </c>
      <c r="AC9" s="5"/>
      <c r="AD9" s="5"/>
      <c r="AE9" s="5"/>
    </row>
    <row r="10" spans="1:38" ht="14.25" customHeight="1">
      <c r="A10" s="1" t="s">
        <v>47</v>
      </c>
      <c r="B10" s="1" t="s">
        <v>48</v>
      </c>
      <c r="C10" s="1"/>
      <c r="D10" s="36" t="s">
        <v>54</v>
      </c>
      <c r="E10" s="37" t="s">
        <v>60</v>
      </c>
      <c r="F10" s="38">
        <f t="shared" si="4"/>
        <v>71174.149999999994</v>
      </c>
      <c r="G10" s="39" t="s">
        <v>51</v>
      </c>
      <c r="H10" s="39">
        <v>16</v>
      </c>
      <c r="I10" s="39">
        <v>190</v>
      </c>
      <c r="J10" s="40"/>
      <c r="K10" s="40">
        <v>60298</v>
      </c>
      <c r="L10" s="40">
        <v>64050.61</v>
      </c>
      <c r="M10" s="40"/>
      <c r="N10" s="131">
        <v>67174.149999999994</v>
      </c>
      <c r="O10" s="41"/>
      <c r="P10" s="132">
        <v>4000</v>
      </c>
      <c r="Q10" s="41"/>
      <c r="R10" s="41"/>
      <c r="S10" s="132"/>
      <c r="T10" s="41"/>
      <c r="U10" s="40">
        <v>11572.12</v>
      </c>
      <c r="V10" s="40">
        <f t="shared" si="5"/>
        <v>11919.283600000001</v>
      </c>
      <c r="W10" s="42">
        <f t="shared" si="6"/>
        <v>16946.565114999998</v>
      </c>
      <c r="X10" s="40">
        <f t="shared" si="7"/>
        <v>5444.822474999999</v>
      </c>
      <c r="Y10" s="42">
        <f t="shared" si="8"/>
        <v>71.174149999999997</v>
      </c>
      <c r="Z10" s="42">
        <f t="shared" si="9"/>
        <v>105555.99533999999</v>
      </c>
      <c r="AC10" s="5"/>
      <c r="AD10" s="5"/>
      <c r="AE10" s="5"/>
    </row>
    <row r="11" spans="1:38" ht="14.25" customHeight="1">
      <c r="A11" s="1" t="s">
        <v>47</v>
      </c>
      <c r="B11" s="1" t="s">
        <v>48</v>
      </c>
      <c r="C11" s="1"/>
      <c r="D11" s="36" t="s">
        <v>54</v>
      </c>
      <c r="E11" s="147" t="s">
        <v>61</v>
      </c>
      <c r="F11" s="38">
        <f t="shared" si="4"/>
        <v>54139.47</v>
      </c>
      <c r="G11" s="39" t="s">
        <v>51</v>
      </c>
      <c r="H11" s="39">
        <v>4</v>
      </c>
      <c r="I11" s="39">
        <v>190</v>
      </c>
      <c r="J11" s="40"/>
      <c r="K11" s="40">
        <v>47743</v>
      </c>
      <c r="L11" s="40">
        <v>51903.98</v>
      </c>
      <c r="M11" s="40"/>
      <c r="N11" s="131">
        <v>54139.47</v>
      </c>
      <c r="O11" s="41"/>
      <c r="P11" s="41"/>
      <c r="Q11" s="41"/>
      <c r="R11" s="41"/>
      <c r="S11" s="132"/>
      <c r="T11" s="41"/>
      <c r="U11" s="40">
        <v>4770.78</v>
      </c>
      <c r="V11" s="40">
        <f t="shared" si="5"/>
        <v>4913.9034000000001</v>
      </c>
      <c r="W11" s="42">
        <f t="shared" si="6"/>
        <v>12890.607807</v>
      </c>
      <c r="X11" s="40">
        <f t="shared" si="7"/>
        <v>4141.6694550000002</v>
      </c>
      <c r="Y11" s="42">
        <f t="shared" si="8"/>
        <v>54.139470000000003</v>
      </c>
      <c r="Z11" s="42">
        <f t="shared" si="9"/>
        <v>76139.790131999995</v>
      </c>
      <c r="AC11" s="5"/>
      <c r="AD11" s="5"/>
      <c r="AE11" s="5"/>
    </row>
    <row r="12" spans="1:38" ht="14.25" customHeight="1">
      <c r="A12" s="1" t="s">
        <v>47</v>
      </c>
      <c r="B12" s="1" t="s">
        <v>48</v>
      </c>
      <c r="C12" s="1"/>
      <c r="D12" s="36" t="s">
        <v>54</v>
      </c>
      <c r="E12" s="208" t="s">
        <v>515</v>
      </c>
      <c r="F12" s="38">
        <f t="shared" si="4"/>
        <v>48303.02</v>
      </c>
      <c r="G12" s="39" t="s">
        <v>56</v>
      </c>
      <c r="H12" s="39">
        <v>18</v>
      </c>
      <c r="I12" s="39">
        <v>190</v>
      </c>
      <c r="J12" s="40"/>
      <c r="K12" s="40">
        <v>67199</v>
      </c>
      <c r="L12" s="40">
        <v>71231.399999999994</v>
      </c>
      <c r="M12" s="40"/>
      <c r="N12" s="131">
        <v>46553.02</v>
      </c>
      <c r="O12" s="133"/>
      <c r="P12" s="133"/>
      <c r="Q12" s="133"/>
      <c r="R12" s="133"/>
      <c r="S12" s="135">
        <v>500</v>
      </c>
      <c r="T12" s="135">
        <v>1250</v>
      </c>
      <c r="U12" s="40">
        <v>4770.78</v>
      </c>
      <c r="V12" s="40">
        <f t="shared" si="5"/>
        <v>4913.9034000000001</v>
      </c>
      <c r="W12" s="42">
        <f t="shared" si="6"/>
        <v>11500.949062</v>
      </c>
      <c r="X12" s="40">
        <f t="shared" si="7"/>
        <v>3695.1810299999997</v>
      </c>
      <c r="Y12" s="42">
        <f t="shared" si="8"/>
        <v>48.303019999999997</v>
      </c>
      <c r="Z12" s="42">
        <f t="shared" si="9"/>
        <v>68461.356511999998</v>
      </c>
      <c r="AC12" s="5"/>
      <c r="AD12" s="5"/>
      <c r="AE12" s="5"/>
    </row>
    <row r="13" spans="1:38" ht="14.25" customHeight="1">
      <c r="A13" s="1" t="s">
        <v>47</v>
      </c>
      <c r="B13" s="1" t="s">
        <v>48</v>
      </c>
      <c r="C13" s="1"/>
      <c r="D13" s="36" t="s">
        <v>54</v>
      </c>
      <c r="E13" s="205" t="s">
        <v>62</v>
      </c>
      <c r="F13" s="38">
        <f t="shared" si="4"/>
        <v>60416.190999999992</v>
      </c>
      <c r="G13" s="39" t="s">
        <v>51</v>
      </c>
      <c r="H13" s="39">
        <v>9</v>
      </c>
      <c r="I13" s="39">
        <v>190</v>
      </c>
      <c r="J13" s="40"/>
      <c r="K13" s="40">
        <v>52881</v>
      </c>
      <c r="L13" s="40">
        <v>56396.11</v>
      </c>
      <c r="M13" s="40"/>
      <c r="N13" s="148">
        <v>59416.190999999992</v>
      </c>
      <c r="O13" s="41"/>
      <c r="P13" s="41"/>
      <c r="Q13" s="41"/>
      <c r="R13" s="41"/>
      <c r="S13" s="132">
        <v>1000</v>
      </c>
      <c r="T13" s="41"/>
      <c r="U13" s="40">
        <v>7218.848</v>
      </c>
      <c r="V13" s="40">
        <f t="shared" si="5"/>
        <v>7435.4134400000003</v>
      </c>
      <c r="W13" s="42">
        <f t="shared" si="6"/>
        <v>14385.095077099999</v>
      </c>
      <c r="X13" s="40">
        <f t="shared" si="7"/>
        <v>4621.8386114999994</v>
      </c>
      <c r="Y13" s="42">
        <f t="shared" si="8"/>
        <v>60.416190999999991</v>
      </c>
      <c r="Z13" s="42">
        <f t="shared" si="9"/>
        <v>86918.954319599987</v>
      </c>
      <c r="AC13" s="5"/>
      <c r="AD13" s="5"/>
      <c r="AE13" s="5"/>
    </row>
    <row r="14" spans="1:38" ht="14.25" customHeight="1">
      <c r="A14" s="1" t="s">
        <v>47</v>
      </c>
      <c r="B14" s="1" t="s">
        <v>48</v>
      </c>
      <c r="C14" s="1"/>
      <c r="D14" s="36" t="s">
        <v>54</v>
      </c>
      <c r="E14" s="37" t="s">
        <v>63</v>
      </c>
      <c r="F14" s="38">
        <f t="shared" si="4"/>
        <v>69547.545999999988</v>
      </c>
      <c r="G14" s="39" t="s">
        <v>56</v>
      </c>
      <c r="H14" s="39">
        <v>14</v>
      </c>
      <c r="I14" s="39">
        <v>190</v>
      </c>
      <c r="J14" s="40"/>
      <c r="K14" s="40">
        <v>62411</v>
      </c>
      <c r="L14" s="40">
        <v>66314.12</v>
      </c>
      <c r="M14" s="40"/>
      <c r="N14" s="148">
        <v>69547.545999999988</v>
      </c>
      <c r="O14" s="41"/>
      <c r="P14" s="41"/>
      <c r="Q14" s="41"/>
      <c r="R14" s="41"/>
      <c r="S14" s="41"/>
      <c r="T14" s="41"/>
      <c r="U14" s="40">
        <v>7218.848</v>
      </c>
      <c r="V14" s="40">
        <f t="shared" si="5"/>
        <v>7435.4134400000003</v>
      </c>
      <c r="W14" s="42">
        <f t="shared" si="6"/>
        <v>16559.270702599999</v>
      </c>
      <c r="X14" s="40">
        <f t="shared" si="7"/>
        <v>5320.3872689999989</v>
      </c>
      <c r="Y14" s="42">
        <f t="shared" si="8"/>
        <v>69.547545999999983</v>
      </c>
      <c r="Z14" s="42">
        <f t="shared" si="9"/>
        <v>98932.164957599991</v>
      </c>
      <c r="AC14" s="5"/>
      <c r="AD14" s="5"/>
      <c r="AE14" s="5"/>
    </row>
    <row r="15" spans="1:38" ht="14.25" customHeight="1">
      <c r="A15" s="1" t="s">
        <v>47</v>
      </c>
      <c r="B15" s="1" t="s">
        <v>48</v>
      </c>
      <c r="C15" s="1"/>
      <c r="D15" s="36" t="s">
        <v>54</v>
      </c>
      <c r="E15" s="37" t="s">
        <v>66</v>
      </c>
      <c r="F15" s="38">
        <f t="shared" si="4"/>
        <v>76353.474999999991</v>
      </c>
      <c r="G15" s="39" t="s">
        <v>51</v>
      </c>
      <c r="H15" s="39">
        <v>24</v>
      </c>
      <c r="I15" s="39">
        <v>190</v>
      </c>
      <c r="J15" s="40"/>
      <c r="K15" s="40">
        <v>69206</v>
      </c>
      <c r="L15" s="40">
        <v>73213.509999999995</v>
      </c>
      <c r="M15" s="40"/>
      <c r="N15" s="148">
        <v>76353.474999999991</v>
      </c>
      <c r="O15" s="41"/>
      <c r="P15" s="41"/>
      <c r="Q15" s="41"/>
      <c r="R15" s="41"/>
      <c r="S15" s="41"/>
      <c r="T15" s="41"/>
      <c r="U15" s="40">
        <v>4770.78</v>
      </c>
      <c r="V15" s="40">
        <f t="shared" si="5"/>
        <v>4913.9034000000001</v>
      </c>
      <c r="W15" s="42">
        <f t="shared" si="6"/>
        <v>18179.762397499999</v>
      </c>
      <c r="X15" s="40">
        <f t="shared" si="7"/>
        <v>5841.0408374999988</v>
      </c>
      <c r="Y15" s="42">
        <f t="shared" si="8"/>
        <v>76.353474999999989</v>
      </c>
      <c r="Z15" s="42">
        <f t="shared" si="9"/>
        <v>105364.53510999998</v>
      </c>
      <c r="AC15" s="5"/>
      <c r="AD15" s="5"/>
      <c r="AE15" s="5"/>
    </row>
    <row r="16" spans="1:38" ht="14.25" customHeight="1">
      <c r="A16" s="1" t="s">
        <v>47</v>
      </c>
      <c r="B16" s="1" t="s">
        <v>48</v>
      </c>
      <c r="C16" s="1"/>
      <c r="D16" s="36" t="s">
        <v>54</v>
      </c>
      <c r="E16" s="37" t="s">
        <v>67</v>
      </c>
      <c r="F16" s="38">
        <f t="shared" si="4"/>
        <v>70623.84199999999</v>
      </c>
      <c r="G16" s="39" t="s">
        <v>51</v>
      </c>
      <c r="H16" s="39">
        <v>19</v>
      </c>
      <c r="I16" s="39">
        <v>190</v>
      </c>
      <c r="J16" s="40"/>
      <c r="K16" s="40">
        <v>63627.199999999997</v>
      </c>
      <c r="L16" s="40">
        <v>67500.3</v>
      </c>
      <c r="M16" s="40"/>
      <c r="N16" s="148">
        <v>70623.84199999999</v>
      </c>
      <c r="O16" s="41"/>
      <c r="P16" s="41"/>
      <c r="Q16" s="41"/>
      <c r="R16" s="41"/>
      <c r="S16" s="41"/>
      <c r="T16" s="41"/>
      <c r="U16" s="40">
        <v>176.12</v>
      </c>
      <c r="V16" s="40">
        <f t="shared" si="5"/>
        <v>181.40360000000001</v>
      </c>
      <c r="W16" s="42">
        <f t="shared" si="6"/>
        <v>16815.536780199996</v>
      </c>
      <c r="X16" s="40">
        <f t="shared" si="7"/>
        <v>5402.7239129999989</v>
      </c>
      <c r="Y16" s="42">
        <f t="shared" si="8"/>
        <v>70.623841999999996</v>
      </c>
      <c r="Z16" s="42">
        <f t="shared" si="9"/>
        <v>93094.130135199986</v>
      </c>
      <c r="AC16" s="5"/>
      <c r="AD16" s="5"/>
      <c r="AE16" s="5"/>
    </row>
    <row r="17" spans="1:31" ht="14.25" customHeight="1">
      <c r="A17" s="1" t="s">
        <v>47</v>
      </c>
      <c r="B17" s="1" t="s">
        <v>48</v>
      </c>
      <c r="C17" s="1"/>
      <c r="D17" s="36" t="s">
        <v>54</v>
      </c>
      <c r="E17" s="37" t="s">
        <v>68</v>
      </c>
      <c r="F17" s="38">
        <f t="shared" si="4"/>
        <v>78640.603999999992</v>
      </c>
      <c r="G17" s="39" t="s">
        <v>51</v>
      </c>
      <c r="H17" s="39">
        <v>26</v>
      </c>
      <c r="I17" s="39">
        <v>190</v>
      </c>
      <c r="J17" s="40"/>
      <c r="K17" s="40">
        <v>71424.800000000003</v>
      </c>
      <c r="L17" s="40">
        <v>75499.399999999994</v>
      </c>
      <c r="M17" s="40"/>
      <c r="N17" s="148">
        <v>78640.603999999992</v>
      </c>
      <c r="O17" s="41"/>
      <c r="P17" s="41"/>
      <c r="Q17" s="41"/>
      <c r="R17" s="41"/>
      <c r="S17" s="41"/>
      <c r="T17" s="41"/>
      <c r="U17" s="40">
        <v>7218.848</v>
      </c>
      <c r="V17" s="40">
        <f t="shared" si="5"/>
        <v>7435.4134400000003</v>
      </c>
      <c r="W17" s="42">
        <f t="shared" si="6"/>
        <v>18724.327812399999</v>
      </c>
      <c r="X17" s="40">
        <f t="shared" si="7"/>
        <v>6016.0062059999991</v>
      </c>
      <c r="Y17" s="42">
        <f t="shared" si="8"/>
        <v>78.640603999999996</v>
      </c>
      <c r="Z17" s="42">
        <f t="shared" si="9"/>
        <v>110894.99206239999</v>
      </c>
      <c r="AC17" s="5"/>
      <c r="AD17" s="5"/>
      <c r="AE17" s="5"/>
    </row>
    <row r="18" spans="1:31" ht="14.25" customHeight="1">
      <c r="A18" s="1" t="s">
        <v>47</v>
      </c>
      <c r="B18" s="1" t="s">
        <v>48</v>
      </c>
      <c r="C18" s="1"/>
      <c r="D18" s="36" t="s">
        <v>54</v>
      </c>
      <c r="E18" s="37" t="s">
        <v>69</v>
      </c>
      <c r="F18" s="38">
        <f t="shared" si="4"/>
        <v>78640.603999999992</v>
      </c>
      <c r="G18" s="39" t="s">
        <v>51</v>
      </c>
      <c r="H18" s="39">
        <v>26</v>
      </c>
      <c r="I18" s="39">
        <v>190</v>
      </c>
      <c r="J18" s="40"/>
      <c r="K18" s="40">
        <v>71424.800000000003</v>
      </c>
      <c r="L18" s="40">
        <v>75499.399999999994</v>
      </c>
      <c r="M18" s="40"/>
      <c r="N18" s="148">
        <v>78640.603999999992</v>
      </c>
      <c r="O18" s="41"/>
      <c r="P18" s="41"/>
      <c r="Q18" s="41"/>
      <c r="R18" s="41"/>
      <c r="S18" s="41"/>
      <c r="T18" s="41"/>
      <c r="U18" s="40">
        <v>11572.12</v>
      </c>
      <c r="V18" s="40">
        <f t="shared" si="5"/>
        <v>11919.283600000001</v>
      </c>
      <c r="W18" s="42">
        <f t="shared" si="6"/>
        <v>18724.327812399999</v>
      </c>
      <c r="X18" s="40">
        <f t="shared" si="7"/>
        <v>6016.0062059999991</v>
      </c>
      <c r="Y18" s="42">
        <f t="shared" si="8"/>
        <v>78.640603999999996</v>
      </c>
      <c r="Z18" s="42">
        <f t="shared" si="9"/>
        <v>115378.8622224</v>
      </c>
      <c r="AC18" s="5"/>
      <c r="AD18" s="5"/>
      <c r="AE18" s="5"/>
    </row>
    <row r="19" spans="1:31" ht="14.25" customHeight="1">
      <c r="A19" s="1"/>
      <c r="B19" s="1"/>
      <c r="C19" s="1"/>
      <c r="D19" s="36"/>
      <c r="E19" s="137" t="s">
        <v>70</v>
      </c>
      <c r="F19" s="138">
        <f>SUM(F6:F18)</f>
        <v>887638.26</v>
      </c>
      <c r="G19" s="138">
        <f>SUM(G2:G18)</f>
        <v>0</v>
      </c>
      <c r="H19" s="138">
        <f>SUM(H2:H18)</f>
        <v>254</v>
      </c>
      <c r="I19" s="138">
        <f>SUM(I2:I18)</f>
        <v>2870</v>
      </c>
      <c r="J19" s="138">
        <f>SUM(J2:J18)</f>
        <v>0</v>
      </c>
      <c r="K19" s="138">
        <f>SUM(K6:K18)</f>
        <v>803539.8</v>
      </c>
      <c r="L19" s="138">
        <f>SUM(L6:L18)</f>
        <v>858988.01</v>
      </c>
      <c r="M19" s="138"/>
      <c r="N19" s="140">
        <f>SUM(N6:N18)</f>
        <v>862888.26</v>
      </c>
      <c r="O19" s="138">
        <f t="shared" ref="O19:U19" si="10">SUM(O2:O18)</f>
        <v>15000</v>
      </c>
      <c r="P19" s="138">
        <f t="shared" si="10"/>
        <v>12000</v>
      </c>
      <c r="Q19" s="138">
        <f t="shared" si="10"/>
        <v>0</v>
      </c>
      <c r="R19" s="138">
        <f t="shared" si="10"/>
        <v>0</v>
      </c>
      <c r="S19" s="138">
        <f t="shared" si="10"/>
        <v>2000</v>
      </c>
      <c r="T19" s="138">
        <f t="shared" si="10"/>
        <v>5750</v>
      </c>
      <c r="U19" s="138">
        <f t="shared" si="10"/>
        <v>126837.48199999997</v>
      </c>
      <c r="V19" s="138">
        <f>SUM(V6:V18)</f>
        <v>92492.362300000008</v>
      </c>
      <c r="W19" s="138">
        <f>SUM(W6:W18)</f>
        <v>211346.66970599999</v>
      </c>
      <c r="X19" s="138">
        <f>SUM(X6:X18)</f>
        <v>67904.326889999997</v>
      </c>
      <c r="Y19" s="138">
        <f>SUM(Y6:Y18)</f>
        <v>887.63825999999995</v>
      </c>
      <c r="Z19" s="138">
        <f>SUM(Z6:Z18)</f>
        <v>1260269.2571559998</v>
      </c>
      <c r="AA19" s="138"/>
      <c r="AC19" s="5"/>
      <c r="AD19" s="5"/>
      <c r="AE19" s="5"/>
    </row>
    <row r="20" spans="1:31" ht="14.25" customHeight="1">
      <c r="E20" s="149"/>
      <c r="N20" s="40"/>
      <c r="AC20" s="5"/>
      <c r="AD20" s="5"/>
      <c r="AE20" s="5"/>
    </row>
    <row r="21" spans="1:31" ht="14.25" customHeight="1">
      <c r="A21" s="1" t="s">
        <v>47</v>
      </c>
      <c r="B21" s="1" t="s">
        <v>48</v>
      </c>
      <c r="C21" s="1"/>
      <c r="D21" s="36" t="s">
        <v>71</v>
      </c>
      <c r="E21" s="147" t="s">
        <v>72</v>
      </c>
      <c r="F21" s="38">
        <f>SUM(N21:T21)</f>
        <v>92456.562999999995</v>
      </c>
      <c r="G21" s="39" t="s">
        <v>56</v>
      </c>
      <c r="H21" s="39">
        <v>28</v>
      </c>
      <c r="I21" s="39">
        <v>190</v>
      </c>
      <c r="J21" s="40"/>
      <c r="K21" s="40">
        <v>76775.199999999997</v>
      </c>
      <c r="L21" s="40">
        <v>81078.070000000007</v>
      </c>
      <c r="M21" s="40"/>
      <c r="N21" s="148">
        <v>84306.562999999995</v>
      </c>
      <c r="O21" s="41"/>
      <c r="P21" s="41"/>
      <c r="Q21" s="41"/>
      <c r="R21" s="41"/>
      <c r="S21" s="41"/>
      <c r="T21" s="150">
        <v>8150</v>
      </c>
      <c r="U21" s="40">
        <v>11572.12</v>
      </c>
      <c r="V21" s="40">
        <f t="shared" ref="V21:V24" si="11">+U21*1.03</f>
        <v>11919.283600000001</v>
      </c>
      <c r="W21" s="42">
        <f>+(F21)*0.2381</f>
        <v>22013.9076503</v>
      </c>
      <c r="X21" s="40">
        <f>F21*0.0765</f>
        <v>7072.9270694999996</v>
      </c>
      <c r="Y21" s="42">
        <f>F21*0.001</f>
        <v>92.456563000000003</v>
      </c>
      <c r="Z21" s="42">
        <f>F21+SUM(V21:Y21)</f>
        <v>133555.13788279999</v>
      </c>
      <c r="AA21" s="151"/>
      <c r="AC21" s="5"/>
      <c r="AD21" s="5"/>
      <c r="AE21" s="5"/>
    </row>
    <row r="22" spans="1:31" ht="14.25" customHeight="1">
      <c r="A22" s="1" t="s">
        <v>47</v>
      </c>
      <c r="B22" s="1" t="s">
        <v>48</v>
      </c>
      <c r="C22" s="1"/>
      <c r="D22" s="36" t="s">
        <v>73</v>
      </c>
      <c r="E22" s="37" t="s">
        <v>74</v>
      </c>
      <c r="F22" s="38">
        <f>SUM(N22:T22)</f>
        <v>104856.80599999998</v>
      </c>
      <c r="G22" s="39" t="s">
        <v>75</v>
      </c>
      <c r="H22" s="39">
        <v>21</v>
      </c>
      <c r="I22" s="39">
        <v>190</v>
      </c>
      <c r="J22" s="40"/>
      <c r="K22" s="40">
        <v>76699.199999999997</v>
      </c>
      <c r="L22" s="40">
        <v>81128.59</v>
      </c>
      <c r="M22" s="40"/>
      <c r="N22" s="148">
        <v>84439.045999999988</v>
      </c>
      <c r="O22" s="134">
        <v>7500</v>
      </c>
      <c r="P22" s="134"/>
      <c r="Q22" s="133"/>
      <c r="R22" s="133"/>
      <c r="S22" s="133"/>
      <c r="T22" s="152">
        <v>12917.76</v>
      </c>
      <c r="U22" s="40">
        <v>11572.12</v>
      </c>
      <c r="V22" s="40">
        <f t="shared" si="11"/>
        <v>11919.283600000001</v>
      </c>
      <c r="W22" s="42">
        <f>+(F22)*0.2381</f>
        <v>24966.405508599997</v>
      </c>
      <c r="X22" s="40">
        <f>F22*0.0765</f>
        <v>8021.5456589999985</v>
      </c>
      <c r="Y22" s="42">
        <f>F22*0.001</f>
        <v>104.85680599999998</v>
      </c>
      <c r="Z22" s="42">
        <f>F22+SUM(V22:Y22)</f>
        <v>149868.89757359997</v>
      </c>
      <c r="AC22" s="5"/>
      <c r="AD22" s="5"/>
      <c r="AE22" s="5"/>
    </row>
    <row r="23" spans="1:31" ht="14.25" customHeight="1">
      <c r="A23" t="s">
        <v>47</v>
      </c>
      <c r="B23" t="s">
        <v>48</v>
      </c>
      <c r="D23" s="36" t="s">
        <v>76</v>
      </c>
      <c r="E23" s="153" t="s">
        <v>77</v>
      </c>
      <c r="F23" s="38">
        <f>SUM(N23:T23)</f>
        <v>45243.03</v>
      </c>
      <c r="G23" s="39" t="s">
        <v>51</v>
      </c>
      <c r="H23" s="39">
        <v>14</v>
      </c>
      <c r="I23" s="39">
        <v>190</v>
      </c>
      <c r="J23" s="40"/>
      <c r="K23" s="40">
        <v>30000</v>
      </c>
      <c r="L23" s="40">
        <f>+K23*1.055</f>
        <v>31649.999999999996</v>
      </c>
      <c r="M23" s="40"/>
      <c r="N23" s="131">
        <v>32463.03</v>
      </c>
      <c r="O23" s="41"/>
      <c r="P23" s="40"/>
      <c r="Q23" s="41"/>
      <c r="R23" s="41"/>
      <c r="S23" s="41"/>
      <c r="T23" s="132">
        <v>12780</v>
      </c>
      <c r="U23" s="40">
        <v>11572.12</v>
      </c>
      <c r="V23" s="40">
        <f t="shared" si="11"/>
        <v>11919.283600000001</v>
      </c>
      <c r="W23" s="42">
        <f>+(F23)*0.2381</f>
        <v>10772.365443000001</v>
      </c>
      <c r="X23" s="40">
        <f>F23*0.0765</f>
        <v>3461.0917949999998</v>
      </c>
      <c r="Y23" s="42">
        <f>F23*0.001</f>
        <v>45.243029999999997</v>
      </c>
      <c r="Z23" s="42">
        <f>F23+SUM(V23:Y23)</f>
        <v>71441.013868000009</v>
      </c>
      <c r="AC23" s="5"/>
      <c r="AD23" s="5"/>
      <c r="AE23" s="5"/>
    </row>
    <row r="24" spans="1:31" ht="14.25" customHeight="1">
      <c r="A24" s="1" t="s">
        <v>47</v>
      </c>
      <c r="B24" s="1" t="s">
        <v>48</v>
      </c>
      <c r="C24" s="1"/>
      <c r="D24" s="36" t="s">
        <v>71</v>
      </c>
      <c r="E24" s="37" t="s">
        <v>78</v>
      </c>
      <c r="F24" s="38">
        <f>SUM(N24:T24)</f>
        <v>84800.303999999989</v>
      </c>
      <c r="G24" s="39" t="s">
        <v>51</v>
      </c>
      <c r="H24" s="39">
        <v>18</v>
      </c>
      <c r="I24" s="39">
        <v>190</v>
      </c>
      <c r="J24" s="40"/>
      <c r="K24" s="40">
        <v>62487.199999999997</v>
      </c>
      <c r="L24" s="40">
        <v>66344.929999999993</v>
      </c>
      <c r="M24" s="40"/>
      <c r="N24" s="148">
        <v>69500.303999999989</v>
      </c>
      <c r="O24" s="41"/>
      <c r="P24" s="40">
        <v>4000</v>
      </c>
      <c r="Q24" s="41"/>
      <c r="R24" s="41"/>
      <c r="S24" s="41"/>
      <c r="T24" s="132">
        <v>11300</v>
      </c>
      <c r="U24" s="40">
        <v>4770.78</v>
      </c>
      <c r="V24" s="40">
        <f t="shared" si="11"/>
        <v>4913.9034000000001</v>
      </c>
      <c r="W24" s="42">
        <f>+(F24)*0.2381</f>
        <v>20190.952382399999</v>
      </c>
      <c r="X24" s="40">
        <f>F24*0.0765</f>
        <v>6487.2232559999993</v>
      </c>
      <c r="Y24" s="42">
        <f>F24*0.001</f>
        <v>84.800303999999997</v>
      </c>
      <c r="Z24" s="42">
        <f>F24+SUM(V24:Y24)</f>
        <v>116477.18334239999</v>
      </c>
      <c r="AC24" s="5"/>
      <c r="AD24" s="5"/>
      <c r="AE24" s="5"/>
    </row>
    <row r="25" spans="1:31" ht="14.4">
      <c r="E25" s="154" t="s">
        <v>79</v>
      </c>
      <c r="F25" s="155">
        <f>SUM(F21:F24)</f>
        <v>327356.70299999998</v>
      </c>
      <c r="K25" s="155">
        <f t="shared" ref="K25:Z25" si="12">SUM(K21:K24)</f>
        <v>245961.59999999998</v>
      </c>
      <c r="L25" s="155">
        <f t="shared" si="12"/>
        <v>260201.59</v>
      </c>
      <c r="M25" s="155">
        <f t="shared" ref="M25" si="13">SUM(M21:M24)</f>
        <v>0</v>
      </c>
      <c r="N25" s="140">
        <f>SUM(N21:N24)</f>
        <v>270708.94299999997</v>
      </c>
      <c r="O25" s="155">
        <f t="shared" si="12"/>
        <v>7500</v>
      </c>
      <c r="P25" s="155">
        <f t="shared" si="12"/>
        <v>4000</v>
      </c>
      <c r="Q25" s="155">
        <f t="shared" si="12"/>
        <v>0</v>
      </c>
      <c r="R25" s="155">
        <f t="shared" si="12"/>
        <v>0</v>
      </c>
      <c r="S25" s="155">
        <f t="shared" si="12"/>
        <v>0</v>
      </c>
      <c r="T25" s="155">
        <f t="shared" si="12"/>
        <v>45147.76</v>
      </c>
      <c r="U25" s="155">
        <f t="shared" si="12"/>
        <v>39487.14</v>
      </c>
      <c r="V25" s="155">
        <f t="shared" si="12"/>
        <v>40671.754200000003</v>
      </c>
      <c r="W25" s="155">
        <f t="shared" si="12"/>
        <v>77943.630984299991</v>
      </c>
      <c r="X25" s="155">
        <f t="shared" si="12"/>
        <v>25042.787779499995</v>
      </c>
      <c r="Y25" s="155">
        <f t="shared" si="12"/>
        <v>327.35670299999998</v>
      </c>
      <c r="Z25" s="155">
        <f t="shared" si="12"/>
        <v>471342.23266679997</v>
      </c>
    </row>
    <row r="26" spans="1:31" ht="14.25" customHeight="1">
      <c r="A26" s="1"/>
      <c r="B26" s="1"/>
      <c r="C26" s="1"/>
      <c r="D26" s="36"/>
      <c r="E26" s="37"/>
      <c r="F26" s="38"/>
      <c r="G26" s="39"/>
      <c r="H26" s="39"/>
      <c r="I26" s="39"/>
      <c r="J26" s="40"/>
      <c r="K26" s="40"/>
      <c r="L26" s="40"/>
      <c r="M26" s="40"/>
      <c r="N26" s="40"/>
      <c r="O26" s="41"/>
      <c r="P26" s="40"/>
      <c r="Q26" s="41"/>
      <c r="R26" s="41"/>
      <c r="S26" s="41"/>
      <c r="T26" s="132"/>
      <c r="U26" s="40"/>
      <c r="V26" s="40"/>
      <c r="W26" s="42"/>
      <c r="X26" s="40"/>
      <c r="Y26" s="42"/>
      <c r="Z26" s="42"/>
      <c r="AC26" s="5"/>
      <c r="AD26" s="5"/>
      <c r="AE26" s="5"/>
    </row>
    <row r="27" spans="1:31" ht="14.25" customHeight="1">
      <c r="A27" s="1" t="s">
        <v>47</v>
      </c>
      <c r="B27" s="1" t="s">
        <v>48</v>
      </c>
      <c r="C27" s="1"/>
      <c r="D27" s="36" t="s">
        <v>71</v>
      </c>
      <c r="E27" s="37" t="s">
        <v>80</v>
      </c>
      <c r="F27" s="38">
        <f>SUM(N27:T27)</f>
        <v>66386.109999999986</v>
      </c>
      <c r="G27" s="39" t="s">
        <v>51</v>
      </c>
      <c r="H27" s="39">
        <v>8</v>
      </c>
      <c r="I27" s="39">
        <v>190</v>
      </c>
      <c r="J27" s="40"/>
      <c r="K27" s="40">
        <v>51862.400000000001</v>
      </c>
      <c r="L27" s="40">
        <v>55308.79</v>
      </c>
      <c r="M27" s="40"/>
      <c r="N27" s="148">
        <v>58386.109999999993</v>
      </c>
      <c r="O27" s="41"/>
      <c r="P27" s="40">
        <v>4000</v>
      </c>
      <c r="Q27" s="41"/>
      <c r="R27" s="41"/>
      <c r="S27" s="41"/>
      <c r="T27" s="132">
        <v>4000</v>
      </c>
      <c r="U27" s="40">
        <v>11572.12</v>
      </c>
      <c r="V27" s="40">
        <f t="shared" ref="V27:V30" si="14">+U27*1.03</f>
        <v>11919.283600000001</v>
      </c>
      <c r="W27" s="42">
        <f>+(F27)*0.2381</f>
        <v>15806.532790999998</v>
      </c>
      <c r="X27" s="40">
        <f>F27*0.0765</f>
        <v>5078.5374149999989</v>
      </c>
      <c r="Y27" s="42">
        <f>F27*0.001</f>
        <v>66.386109999999988</v>
      </c>
      <c r="Z27" s="42">
        <f>F27+SUM(V27:Y27)</f>
        <v>99256.849915999977</v>
      </c>
      <c r="AC27" s="5"/>
      <c r="AD27" s="5"/>
      <c r="AE27" s="5"/>
    </row>
    <row r="28" spans="1:31" ht="14.25" customHeight="1">
      <c r="A28" s="1" t="s">
        <v>47</v>
      </c>
      <c r="B28" s="1" t="s">
        <v>48</v>
      </c>
      <c r="C28" s="1"/>
      <c r="D28" s="36" t="s">
        <v>71</v>
      </c>
      <c r="E28" s="37" t="s">
        <v>81</v>
      </c>
      <c r="F28" s="38">
        <f>SUM(N28:T28)</f>
        <v>60493.513999999996</v>
      </c>
      <c r="G28" s="39" t="s">
        <v>51</v>
      </c>
      <c r="H28" s="39">
        <v>10</v>
      </c>
      <c r="I28" s="39">
        <v>190</v>
      </c>
      <c r="J28" s="38"/>
      <c r="K28" s="38">
        <v>44247.199999999997</v>
      </c>
      <c r="L28" s="40">
        <v>47362.89</v>
      </c>
      <c r="M28" s="40"/>
      <c r="N28" s="148">
        <v>60493.513999999996</v>
      </c>
      <c r="O28" s="38"/>
      <c r="P28" s="38"/>
      <c r="Q28" s="38"/>
      <c r="R28" s="38"/>
      <c r="S28" s="38"/>
      <c r="T28" s="38"/>
      <c r="U28" s="40">
        <v>9259.77</v>
      </c>
      <c r="V28" s="40">
        <f t="shared" si="14"/>
        <v>9537.5631000000012</v>
      </c>
      <c r="W28" s="42">
        <f>+(F28)*0.2381</f>
        <v>14403.505683399999</v>
      </c>
      <c r="X28" s="40">
        <f>F28*0.0765</f>
        <v>4627.7538209999993</v>
      </c>
      <c r="Y28" s="42">
        <f>F28*0.001</f>
        <v>60.493513999999998</v>
      </c>
      <c r="Z28" s="42">
        <f>F28+SUM(V28:Y28)</f>
        <v>89122.830118399987</v>
      </c>
      <c r="AC28" s="5"/>
      <c r="AD28" s="5"/>
      <c r="AE28" s="5"/>
    </row>
    <row r="29" spans="1:31" ht="14.25" customHeight="1">
      <c r="A29" s="1" t="s">
        <v>47</v>
      </c>
      <c r="B29" s="1" t="s">
        <v>48</v>
      </c>
      <c r="C29" s="1"/>
      <c r="D29" s="36" t="s">
        <v>71</v>
      </c>
      <c r="E29" s="37" t="s">
        <v>82</v>
      </c>
      <c r="F29" s="38">
        <f>SUM(N29:T29)</f>
        <v>71763.811999999991</v>
      </c>
      <c r="G29" s="39" t="s">
        <v>51</v>
      </c>
      <c r="H29" s="39">
        <v>20</v>
      </c>
      <c r="I29" s="39">
        <v>190</v>
      </c>
      <c r="J29" s="40"/>
      <c r="K29" s="40">
        <v>64752</v>
      </c>
      <c r="L29" s="40">
        <v>68623.839999999997</v>
      </c>
      <c r="M29" s="40"/>
      <c r="N29" s="148">
        <v>71763.811999999991</v>
      </c>
      <c r="O29" s="41"/>
      <c r="P29" s="41"/>
      <c r="Q29" s="41"/>
      <c r="R29" s="41"/>
      <c r="S29" s="41"/>
      <c r="T29" s="41"/>
      <c r="U29" s="40">
        <v>4770.78</v>
      </c>
      <c r="V29" s="40">
        <f t="shared" si="14"/>
        <v>4913.9034000000001</v>
      </c>
      <c r="W29" s="42">
        <f>+(F29)*0.2381</f>
        <v>17086.963637199999</v>
      </c>
      <c r="X29" s="40">
        <f>F29*0.0765</f>
        <v>5489.9316179999996</v>
      </c>
      <c r="Y29" s="42">
        <f>F29*0.001</f>
        <v>71.763811999999987</v>
      </c>
      <c r="Z29" s="42">
        <f>F29+SUM(V29:Y29)</f>
        <v>99326.374467199988</v>
      </c>
      <c r="AC29" s="5"/>
      <c r="AD29" s="5"/>
      <c r="AE29" s="5"/>
    </row>
    <row r="30" spans="1:31" ht="14.25" customHeight="1">
      <c r="A30" s="1" t="s">
        <v>47</v>
      </c>
      <c r="B30" s="1" t="s">
        <v>48</v>
      </c>
      <c r="C30" s="1"/>
      <c r="D30" s="36" t="s">
        <v>71</v>
      </c>
      <c r="E30" s="37" t="s">
        <v>83</v>
      </c>
      <c r="F30" s="38">
        <f>SUM(N30:T30)</f>
        <v>59416.190999999992</v>
      </c>
      <c r="G30" s="39" t="s">
        <v>51</v>
      </c>
      <c r="H30" s="39">
        <v>9</v>
      </c>
      <c r="I30" s="39">
        <v>190</v>
      </c>
      <c r="J30" s="40"/>
      <c r="K30" s="40">
        <v>52880.800000000003</v>
      </c>
      <c r="L30" s="40">
        <v>56386.11</v>
      </c>
      <c r="M30" s="40"/>
      <c r="N30" s="148">
        <v>59416.190999999992</v>
      </c>
      <c r="O30" s="41"/>
      <c r="P30" s="132"/>
      <c r="Q30" s="41"/>
      <c r="R30" s="41"/>
      <c r="S30" s="41"/>
      <c r="T30" s="41"/>
      <c r="U30" s="40">
        <v>4770.78</v>
      </c>
      <c r="V30" s="40">
        <f t="shared" si="14"/>
        <v>4913.9034000000001</v>
      </c>
      <c r="W30" s="42">
        <f>+(F30)*0.2381</f>
        <v>14146.995077099999</v>
      </c>
      <c r="X30" s="40">
        <f>F30*0.0765</f>
        <v>4545.3386114999994</v>
      </c>
      <c r="Y30" s="42">
        <f>F30*0.001</f>
        <v>59.416190999999991</v>
      </c>
      <c r="Z30" s="42">
        <f>F30+SUM(V30:Y30)</f>
        <v>83081.844279599987</v>
      </c>
      <c r="AC30" s="5"/>
      <c r="AD30" s="5"/>
      <c r="AE30" s="5"/>
    </row>
    <row r="31" spans="1:31" ht="14.25" customHeight="1">
      <c r="A31" s="1"/>
      <c r="B31" s="1"/>
      <c r="C31" s="1"/>
      <c r="D31" s="36"/>
      <c r="E31" s="137" t="s">
        <v>84</v>
      </c>
      <c r="F31" s="138">
        <f>SUM(F27:F30)</f>
        <v>258059.62699999998</v>
      </c>
      <c r="G31" s="138">
        <f t="shared" ref="G31:J31" si="15">SUM(G21:G30)</f>
        <v>0</v>
      </c>
      <c r="H31" s="138">
        <f t="shared" si="15"/>
        <v>128</v>
      </c>
      <c r="I31" s="138">
        <f t="shared" si="15"/>
        <v>1520</v>
      </c>
      <c r="J31" s="138">
        <f t="shared" si="15"/>
        <v>0</v>
      </c>
      <c r="K31" s="138">
        <f>SUM(K26:K30)</f>
        <v>213742.40000000002</v>
      </c>
      <c r="L31" s="138">
        <f>SUM(L27:L30)</f>
        <v>227681.63</v>
      </c>
      <c r="M31" s="138"/>
      <c r="N31" s="140">
        <f>SUM(N27:N30)</f>
        <v>250059.62699999998</v>
      </c>
      <c r="O31" s="138">
        <f t="shared" ref="O31:Z31" si="16">SUM(O21:O30)</f>
        <v>15000</v>
      </c>
      <c r="P31" s="138">
        <f t="shared" si="16"/>
        <v>12000</v>
      </c>
      <c r="Q31" s="138">
        <f t="shared" si="16"/>
        <v>0</v>
      </c>
      <c r="R31" s="138">
        <f t="shared" si="16"/>
        <v>0</v>
      </c>
      <c r="S31" s="138">
        <f t="shared" si="16"/>
        <v>0</v>
      </c>
      <c r="T31" s="138">
        <f t="shared" si="16"/>
        <v>94295.52</v>
      </c>
      <c r="U31" s="138">
        <f t="shared" si="16"/>
        <v>109347.73</v>
      </c>
      <c r="V31" s="138">
        <f t="shared" si="16"/>
        <v>112628.16189999999</v>
      </c>
      <c r="W31" s="138">
        <f t="shared" si="16"/>
        <v>217331.2591573</v>
      </c>
      <c r="X31" s="138">
        <f t="shared" si="16"/>
        <v>69827.137024499985</v>
      </c>
      <c r="Y31" s="138">
        <f t="shared" si="16"/>
        <v>912.77303300000005</v>
      </c>
      <c r="Z31" s="138">
        <f t="shared" si="16"/>
        <v>1313472.3641148</v>
      </c>
      <c r="AA31" s="138"/>
      <c r="AC31" s="5"/>
      <c r="AD31" s="5"/>
      <c r="AE31" s="5"/>
    </row>
    <row r="32" spans="1:31" ht="14.25" customHeight="1">
      <c r="A32" s="1"/>
      <c r="B32" s="1"/>
      <c r="C32" s="1"/>
      <c r="D32" s="36"/>
      <c r="E32" s="156"/>
      <c r="F32" s="38"/>
      <c r="G32" s="39"/>
      <c r="H32" s="39"/>
      <c r="I32" s="39"/>
      <c r="J32" s="40"/>
      <c r="K32" s="40"/>
      <c r="L32" s="40"/>
      <c r="M32" s="40"/>
      <c r="N32" s="40"/>
      <c r="O32" s="41"/>
      <c r="P32" s="157"/>
      <c r="Q32" s="41"/>
      <c r="R32" s="41"/>
      <c r="S32" s="41"/>
      <c r="T32" s="41"/>
      <c r="U32" s="40"/>
      <c r="V32" s="40"/>
      <c r="W32" s="42"/>
      <c r="X32" s="40"/>
      <c r="Y32" s="42"/>
      <c r="Z32" s="42"/>
      <c r="AC32" s="5"/>
      <c r="AD32" s="5"/>
      <c r="AE32" s="5"/>
    </row>
    <row r="33" spans="1:31" ht="14.25" customHeight="1">
      <c r="A33" s="1" t="s">
        <v>47</v>
      </c>
      <c r="B33" s="1" t="s">
        <v>48</v>
      </c>
      <c r="C33" s="1"/>
      <c r="D33" s="36" t="s">
        <v>85</v>
      </c>
      <c r="E33" s="37" t="s">
        <v>86</v>
      </c>
      <c r="F33" s="38">
        <f t="shared" ref="F33:F44" si="17">SUM(N33:T33)</f>
        <v>53266.945999999996</v>
      </c>
      <c r="G33" s="39" t="s">
        <v>65</v>
      </c>
      <c r="H33" s="39">
        <v>7</v>
      </c>
      <c r="I33" s="39">
        <v>190</v>
      </c>
      <c r="J33" s="40"/>
      <c r="K33" s="40">
        <v>45144</v>
      </c>
      <c r="L33" s="40">
        <v>48299.51</v>
      </c>
      <c r="M33" s="40"/>
      <c r="N33" s="148">
        <v>51266.945999999996</v>
      </c>
      <c r="O33" s="41"/>
      <c r="P33" s="157">
        <v>2000</v>
      </c>
      <c r="Q33" s="41"/>
      <c r="R33" s="41"/>
      <c r="S33" s="41"/>
      <c r="T33" s="41"/>
      <c r="U33" s="40">
        <v>176.12</v>
      </c>
      <c r="V33" s="40">
        <f t="shared" ref="V33:V47" si="18">+U33*1.03</f>
        <v>181.40360000000001</v>
      </c>
      <c r="W33" s="42">
        <f t="shared" ref="W33:W44" si="19">+(F33)*0.2381</f>
        <v>12682.859842599999</v>
      </c>
      <c r="X33" s="40">
        <f t="shared" ref="X33:X44" si="20">F33*0.0765</f>
        <v>4074.9213689999997</v>
      </c>
      <c r="Y33" s="42">
        <f t="shared" ref="Y33:Y44" si="21">F33*0.001</f>
        <v>53.266945999999997</v>
      </c>
      <c r="Z33" s="42">
        <f t="shared" ref="Z33:Z44" si="22">F33+SUM(V33:Y33)</f>
        <v>70259.397757599989</v>
      </c>
      <c r="AC33" s="5"/>
      <c r="AD33" s="5"/>
      <c r="AE33" s="5"/>
    </row>
    <row r="34" spans="1:31" ht="14.25" customHeight="1">
      <c r="A34" s="158" t="s">
        <v>47</v>
      </c>
      <c r="B34" s="158" t="s">
        <v>48</v>
      </c>
      <c r="C34" s="158"/>
      <c r="D34" s="159" t="s">
        <v>85</v>
      </c>
      <c r="E34" s="153" t="s">
        <v>87</v>
      </c>
      <c r="F34" s="38">
        <f t="shared" si="17"/>
        <v>56262.273999999998</v>
      </c>
      <c r="G34" s="160" t="s">
        <v>51</v>
      </c>
      <c r="H34" s="160">
        <v>6</v>
      </c>
      <c r="I34" s="160">
        <v>190</v>
      </c>
      <c r="J34" s="161"/>
      <c r="K34" s="161">
        <v>46694.400000000001</v>
      </c>
      <c r="L34" s="161">
        <v>53201.38</v>
      </c>
      <c r="M34" s="161"/>
      <c r="N34" s="148">
        <v>56262.273999999998</v>
      </c>
      <c r="O34" s="133"/>
      <c r="P34" s="133"/>
      <c r="Q34" s="133"/>
      <c r="R34" s="133"/>
      <c r="S34" s="133"/>
      <c r="T34" s="135"/>
      <c r="U34" s="161">
        <v>4770.78</v>
      </c>
      <c r="V34" s="161">
        <f t="shared" si="18"/>
        <v>4913.9034000000001</v>
      </c>
      <c r="W34" s="42">
        <f t="shared" si="19"/>
        <v>13396.047439399999</v>
      </c>
      <c r="X34" s="161">
        <f t="shared" si="20"/>
        <v>4304.0639609999998</v>
      </c>
      <c r="Y34" s="162">
        <f t="shared" si="21"/>
        <v>56.262273999999998</v>
      </c>
      <c r="Z34" s="162">
        <f t="shared" si="22"/>
        <v>78932.551074399991</v>
      </c>
      <c r="AA34" s="163"/>
      <c r="AB34" s="163"/>
      <c r="AC34" s="5"/>
      <c r="AD34" s="5"/>
      <c r="AE34" s="5"/>
    </row>
    <row r="35" spans="1:31" ht="14.25" customHeight="1">
      <c r="A35" s="1" t="s">
        <v>47</v>
      </c>
      <c r="B35" s="1" t="s">
        <v>48</v>
      </c>
      <c r="C35" s="1"/>
      <c r="D35" s="36" t="s">
        <v>85</v>
      </c>
      <c r="E35" s="147" t="s">
        <v>88</v>
      </c>
      <c r="F35" s="38">
        <f t="shared" si="17"/>
        <v>71500.303999999989</v>
      </c>
      <c r="G35" s="39" t="s">
        <v>51</v>
      </c>
      <c r="H35" s="39">
        <v>18</v>
      </c>
      <c r="I35" s="39">
        <v>190</v>
      </c>
      <c r="J35" s="40"/>
      <c r="K35" s="40">
        <v>62487.199999999997</v>
      </c>
      <c r="L35" s="40">
        <v>66344.929999999993</v>
      </c>
      <c r="M35" s="40"/>
      <c r="N35" s="148">
        <v>69500.303999999989</v>
      </c>
      <c r="O35" s="41"/>
      <c r="P35" s="157">
        <v>2000</v>
      </c>
      <c r="Q35" s="41"/>
      <c r="R35" s="41"/>
      <c r="S35" s="41"/>
      <c r="T35" s="41"/>
      <c r="U35" s="40">
        <v>11572.12</v>
      </c>
      <c r="V35" s="40">
        <f t="shared" si="18"/>
        <v>11919.283600000001</v>
      </c>
      <c r="W35" s="42">
        <f t="shared" si="19"/>
        <v>17024.222382399999</v>
      </c>
      <c r="X35" s="40">
        <f t="shared" si="20"/>
        <v>5469.7732559999995</v>
      </c>
      <c r="Y35" s="42">
        <f t="shared" si="21"/>
        <v>71.500303999999986</v>
      </c>
      <c r="Z35" s="42">
        <f t="shared" si="22"/>
        <v>105985.08354239998</v>
      </c>
      <c r="AC35" s="5"/>
      <c r="AD35" s="5"/>
      <c r="AE35" s="5"/>
    </row>
    <row r="36" spans="1:31" ht="14.25" customHeight="1">
      <c r="A36" s="1" t="s">
        <v>47</v>
      </c>
      <c r="B36" s="1" t="s">
        <v>48</v>
      </c>
      <c r="C36" s="1"/>
      <c r="D36" s="36" t="s">
        <v>85</v>
      </c>
      <c r="E36" s="37" t="s">
        <v>89</v>
      </c>
      <c r="F36" s="38">
        <f t="shared" si="17"/>
        <v>74160.05975</v>
      </c>
      <c r="G36" s="39" t="s">
        <v>90</v>
      </c>
      <c r="H36" s="39">
        <v>31</v>
      </c>
      <c r="I36" s="39">
        <v>190</v>
      </c>
      <c r="J36" s="40"/>
      <c r="K36" s="40">
        <v>67184</v>
      </c>
      <c r="L36" s="40">
        <v>71079.17</v>
      </c>
      <c r="M36" s="40"/>
      <c r="N36" s="148">
        <v>74160.05975</v>
      </c>
      <c r="O36" s="41"/>
      <c r="P36" s="40"/>
      <c r="Q36" s="41"/>
      <c r="R36" s="41"/>
      <c r="S36" s="41"/>
      <c r="T36" s="41"/>
      <c r="U36" s="40">
        <v>4770.78</v>
      </c>
      <c r="V36" s="40">
        <f t="shared" si="18"/>
        <v>4913.9034000000001</v>
      </c>
      <c r="W36" s="42">
        <f t="shared" si="19"/>
        <v>17657.510226475002</v>
      </c>
      <c r="X36" s="40">
        <f t="shared" si="20"/>
        <v>5673.2445708750001</v>
      </c>
      <c r="Y36" s="42">
        <f t="shared" si="21"/>
        <v>74.160059750000002</v>
      </c>
      <c r="Z36" s="42">
        <f t="shared" si="22"/>
        <v>102478.87800709999</v>
      </c>
      <c r="AC36" s="5"/>
      <c r="AD36" s="5"/>
      <c r="AE36" s="5"/>
    </row>
    <row r="37" spans="1:31" ht="14.25" customHeight="1">
      <c r="A37" s="1" t="s">
        <v>47</v>
      </c>
      <c r="B37" s="1" t="s">
        <v>48</v>
      </c>
      <c r="C37" s="1"/>
      <c r="D37" s="36" t="s">
        <v>85</v>
      </c>
      <c r="E37" s="37" t="s">
        <v>91</v>
      </c>
      <c r="F37" s="38">
        <f t="shared" si="17"/>
        <v>64801.778999999995</v>
      </c>
      <c r="G37" s="39" t="s">
        <v>56</v>
      </c>
      <c r="H37" s="39">
        <v>10</v>
      </c>
      <c r="I37" s="39">
        <v>190</v>
      </c>
      <c r="J37" s="40"/>
      <c r="K37" s="40">
        <v>57972.800000000003</v>
      </c>
      <c r="L37" s="40">
        <v>61677.21</v>
      </c>
      <c r="M37" s="40"/>
      <c r="N37" s="148">
        <v>64801.778999999995</v>
      </c>
      <c r="O37" s="41"/>
      <c r="P37" s="41"/>
      <c r="Q37" s="41"/>
      <c r="R37" s="41"/>
      <c r="S37" s="41"/>
      <c r="T37" s="132"/>
      <c r="U37" s="40">
        <v>4770.78</v>
      </c>
      <c r="V37" s="40">
        <f t="shared" si="18"/>
        <v>4913.9034000000001</v>
      </c>
      <c r="W37" s="42">
        <f t="shared" si="19"/>
        <v>15429.303579899999</v>
      </c>
      <c r="X37" s="40">
        <f t="shared" si="20"/>
        <v>4957.3360934999992</v>
      </c>
      <c r="Y37" s="42">
        <f t="shared" si="21"/>
        <v>64.801778999999996</v>
      </c>
      <c r="Z37" s="42">
        <f t="shared" si="22"/>
        <v>90167.123852399993</v>
      </c>
      <c r="AA37" t="s">
        <v>92</v>
      </c>
      <c r="AC37" s="5"/>
      <c r="AD37" s="5"/>
      <c r="AE37" s="5"/>
    </row>
    <row r="38" spans="1:31" ht="14.25" customHeight="1">
      <c r="A38" s="1" t="s">
        <v>47</v>
      </c>
      <c r="B38" s="1" t="s">
        <v>48</v>
      </c>
      <c r="C38" s="1"/>
      <c r="D38" s="36" t="s">
        <v>85</v>
      </c>
      <c r="E38" s="37" t="s">
        <v>93</v>
      </c>
      <c r="F38" s="38">
        <f t="shared" si="17"/>
        <v>74074.561999999991</v>
      </c>
      <c r="G38" s="39" t="s">
        <v>51</v>
      </c>
      <c r="H38" s="39">
        <v>22</v>
      </c>
      <c r="I38" s="39">
        <v>190</v>
      </c>
      <c r="J38" s="40"/>
      <c r="K38" s="40">
        <v>66956</v>
      </c>
      <c r="L38" s="40">
        <v>70934.59</v>
      </c>
      <c r="M38" s="40"/>
      <c r="N38" s="148">
        <v>74074.561999999991</v>
      </c>
      <c r="O38" s="41"/>
      <c r="P38" s="41"/>
      <c r="Q38" s="41"/>
      <c r="R38" s="41"/>
      <c r="S38" s="41"/>
      <c r="T38" s="41"/>
      <c r="U38" s="40">
        <v>4770.78</v>
      </c>
      <c r="V38" s="40">
        <f t="shared" si="18"/>
        <v>4913.9034000000001</v>
      </c>
      <c r="W38" s="42">
        <f t="shared" si="19"/>
        <v>17637.153212199999</v>
      </c>
      <c r="X38" s="40">
        <f t="shared" si="20"/>
        <v>5666.7039929999992</v>
      </c>
      <c r="Y38" s="42">
        <f t="shared" si="21"/>
        <v>74.074561999999986</v>
      </c>
      <c r="Z38" s="42">
        <f t="shared" si="22"/>
        <v>102366.39716719999</v>
      </c>
      <c r="AC38" s="5"/>
      <c r="AD38" s="5"/>
      <c r="AE38" s="5"/>
    </row>
    <row r="39" spans="1:31" ht="14.25" customHeight="1">
      <c r="A39" s="1" t="s">
        <v>47</v>
      </c>
      <c r="B39" s="1" t="s">
        <v>48</v>
      </c>
      <c r="C39" s="1"/>
      <c r="D39" s="36" t="s">
        <v>85</v>
      </c>
      <c r="E39" s="37" t="s">
        <v>94</v>
      </c>
      <c r="F39" s="38">
        <f t="shared" si="17"/>
        <v>146140.60399999999</v>
      </c>
      <c r="G39" s="39" t="s">
        <v>51</v>
      </c>
      <c r="H39" s="39">
        <v>31</v>
      </c>
      <c r="I39" s="39">
        <v>190</v>
      </c>
      <c r="J39" s="40"/>
      <c r="K39" s="40">
        <v>71424.800000000003</v>
      </c>
      <c r="L39" s="40">
        <v>75499.399999999994</v>
      </c>
      <c r="M39" s="40"/>
      <c r="N39" s="148">
        <v>78640.603999999992</v>
      </c>
      <c r="O39" s="40">
        <v>7500</v>
      </c>
      <c r="P39" s="41"/>
      <c r="Q39" s="41"/>
      <c r="R39" s="41"/>
      <c r="S39" s="41"/>
      <c r="T39" s="132">
        <v>60000</v>
      </c>
      <c r="U39" s="40">
        <v>4770.78</v>
      </c>
      <c r="V39" s="40">
        <f t="shared" si="18"/>
        <v>4913.9034000000001</v>
      </c>
      <c r="W39" s="42">
        <f t="shared" si="19"/>
        <v>34796.077812399999</v>
      </c>
      <c r="X39" s="40">
        <f t="shared" si="20"/>
        <v>11179.756206</v>
      </c>
      <c r="Y39" s="42">
        <f t="shared" si="21"/>
        <v>146.140604</v>
      </c>
      <c r="Z39" s="42">
        <f t="shared" si="22"/>
        <v>197176.48202239998</v>
      </c>
      <c r="AC39" s="5"/>
      <c r="AD39" s="5"/>
      <c r="AE39" s="5"/>
    </row>
    <row r="40" spans="1:31" ht="14.25" customHeight="1">
      <c r="A40" s="1" t="s">
        <v>47</v>
      </c>
      <c r="B40" s="1" t="s">
        <v>48</v>
      </c>
      <c r="C40" s="1"/>
      <c r="D40" s="36" t="s">
        <v>85</v>
      </c>
      <c r="E40" s="37" t="s">
        <v>516</v>
      </c>
      <c r="F40" s="38">
        <f t="shared" si="17"/>
        <v>73231.399999999994</v>
      </c>
      <c r="G40" s="39" t="s">
        <v>51</v>
      </c>
      <c r="H40" s="39">
        <v>6</v>
      </c>
      <c r="I40" s="39">
        <v>190</v>
      </c>
      <c r="J40" s="40"/>
      <c r="K40" s="40">
        <v>49795.199999999997</v>
      </c>
      <c r="L40" s="40">
        <v>53201.38</v>
      </c>
      <c r="M40" s="40"/>
      <c r="N40" s="131">
        <v>73231.399999999994</v>
      </c>
      <c r="O40" s="1"/>
      <c r="P40" s="1"/>
      <c r="Q40" s="1"/>
      <c r="R40" s="1"/>
      <c r="S40" s="1"/>
      <c r="T40" s="164"/>
      <c r="U40" s="40">
        <v>4770.78</v>
      </c>
      <c r="V40" s="40">
        <f t="shared" si="18"/>
        <v>4913.9034000000001</v>
      </c>
      <c r="W40" s="42">
        <f t="shared" si="19"/>
        <v>17436.396339999999</v>
      </c>
      <c r="X40" s="40">
        <f t="shared" si="20"/>
        <v>5602.2020999999995</v>
      </c>
      <c r="Y40" s="42">
        <f t="shared" si="21"/>
        <v>73.231399999999994</v>
      </c>
      <c r="Z40" s="42">
        <f t="shared" si="22"/>
        <v>101257.13324</v>
      </c>
      <c r="AC40" s="5"/>
      <c r="AD40" s="5"/>
      <c r="AE40" s="5"/>
    </row>
    <row r="41" spans="1:31" ht="14.25" customHeight="1">
      <c r="A41" s="1" t="s">
        <v>47</v>
      </c>
      <c r="B41" s="1" t="s">
        <v>48</v>
      </c>
      <c r="C41" s="1"/>
      <c r="D41" s="36" t="s">
        <v>85</v>
      </c>
      <c r="E41" s="37" t="s">
        <v>517</v>
      </c>
      <c r="F41" s="38">
        <f t="shared" si="17"/>
        <v>70623.839999999997</v>
      </c>
      <c r="G41" s="39" t="s">
        <v>65</v>
      </c>
      <c r="H41" s="39">
        <v>4</v>
      </c>
      <c r="I41" s="39">
        <v>190</v>
      </c>
      <c r="J41" s="40"/>
      <c r="K41" s="40">
        <v>42408</v>
      </c>
      <c r="L41" s="40">
        <v>45489.64</v>
      </c>
      <c r="M41" s="40"/>
      <c r="N41" s="131">
        <v>70623.839999999997</v>
      </c>
      <c r="O41" s="1"/>
      <c r="P41" s="1"/>
      <c r="Q41" s="1"/>
      <c r="R41" s="1"/>
      <c r="S41" s="1"/>
      <c r="T41" s="164"/>
      <c r="U41" s="40">
        <v>4770.78</v>
      </c>
      <c r="V41" s="40">
        <f t="shared" si="18"/>
        <v>4913.9034000000001</v>
      </c>
      <c r="W41" s="42">
        <f t="shared" si="19"/>
        <v>16815.536304000001</v>
      </c>
      <c r="X41" s="40">
        <f t="shared" si="20"/>
        <v>5402.7237599999999</v>
      </c>
      <c r="Y41" s="42">
        <f t="shared" si="21"/>
        <v>70.623840000000001</v>
      </c>
      <c r="Z41" s="42">
        <f t="shared" si="22"/>
        <v>97826.627303999994</v>
      </c>
      <c r="AC41" s="5"/>
      <c r="AD41" s="5"/>
      <c r="AE41" s="5"/>
    </row>
    <row r="42" spans="1:31" ht="14.25" customHeight="1">
      <c r="A42" s="1" t="s">
        <v>47</v>
      </c>
      <c r="B42" s="1" t="s">
        <v>48</v>
      </c>
      <c r="C42" s="1"/>
      <c r="D42" s="36" t="s">
        <v>85</v>
      </c>
      <c r="E42" s="37" t="s">
        <v>95</v>
      </c>
      <c r="F42" s="38">
        <f t="shared" si="17"/>
        <v>69500.303999999989</v>
      </c>
      <c r="G42" s="39" t="s">
        <v>51</v>
      </c>
      <c r="H42" s="39">
        <v>18</v>
      </c>
      <c r="I42" s="39">
        <v>190</v>
      </c>
      <c r="J42" s="40"/>
      <c r="K42" s="40">
        <v>62487.199999999997</v>
      </c>
      <c r="L42" s="40">
        <v>66344.929999999993</v>
      </c>
      <c r="M42" s="40"/>
      <c r="N42" s="148">
        <v>69500.303999999989</v>
      </c>
      <c r="O42" s="41"/>
      <c r="P42" s="41"/>
      <c r="Q42" s="41"/>
      <c r="R42" s="41"/>
      <c r="S42" s="41"/>
      <c r="T42" s="41"/>
      <c r="U42" s="40">
        <v>4770.78</v>
      </c>
      <c r="V42" s="40">
        <f t="shared" si="18"/>
        <v>4913.9034000000001</v>
      </c>
      <c r="W42" s="42">
        <f t="shared" si="19"/>
        <v>16548.022382399999</v>
      </c>
      <c r="X42" s="40">
        <f t="shared" si="20"/>
        <v>5316.7732559999995</v>
      </c>
      <c r="Y42" s="42">
        <f t="shared" si="21"/>
        <v>69.500303999999986</v>
      </c>
      <c r="Z42" s="42">
        <f t="shared" si="22"/>
        <v>96348.503342399985</v>
      </c>
      <c r="AC42" s="5"/>
      <c r="AD42" s="5"/>
      <c r="AE42" s="5"/>
    </row>
    <row r="43" spans="1:31" ht="14.25" customHeight="1">
      <c r="A43" s="1" t="s">
        <v>47</v>
      </c>
      <c r="B43" s="1" t="s">
        <v>48</v>
      </c>
      <c r="C43" s="1"/>
      <c r="D43" s="36" t="s">
        <v>85</v>
      </c>
      <c r="E43" s="147" t="s">
        <v>96</v>
      </c>
      <c r="F43" s="38">
        <f t="shared" si="17"/>
        <v>53093.978999999999</v>
      </c>
      <c r="G43" s="39" t="s">
        <v>51</v>
      </c>
      <c r="H43" s="39">
        <v>3</v>
      </c>
      <c r="I43" s="39">
        <v>190</v>
      </c>
      <c r="J43" s="40"/>
      <c r="K43" s="40">
        <v>44553.120000000003</v>
      </c>
      <c r="L43" s="40">
        <v>50032.06</v>
      </c>
      <c r="N43" s="148">
        <v>53093.978999999999</v>
      </c>
      <c r="O43" s="41"/>
      <c r="P43" s="41"/>
      <c r="Q43" s="41"/>
      <c r="R43" s="41"/>
      <c r="S43" s="41"/>
      <c r="T43" s="132"/>
      <c r="U43" s="40">
        <v>4770.78</v>
      </c>
      <c r="V43" s="40">
        <f t="shared" si="18"/>
        <v>4913.9034000000001</v>
      </c>
      <c r="W43" s="42">
        <f t="shared" si="19"/>
        <v>12641.6763999</v>
      </c>
      <c r="X43" s="40">
        <f t="shared" si="20"/>
        <v>4061.6893934999998</v>
      </c>
      <c r="Y43" s="42">
        <f t="shared" si="21"/>
        <v>53.093978999999997</v>
      </c>
      <c r="Z43" s="42">
        <f t="shared" si="22"/>
        <v>74764.342172400007</v>
      </c>
      <c r="AC43" s="5"/>
      <c r="AD43" s="5"/>
      <c r="AE43" s="5"/>
    </row>
    <row r="44" spans="1:31" ht="14.25" customHeight="1">
      <c r="A44" s="1" t="s">
        <v>47</v>
      </c>
      <c r="B44" s="1" t="s">
        <v>48</v>
      </c>
      <c r="C44" s="1"/>
      <c r="D44" s="36" t="s">
        <v>85</v>
      </c>
      <c r="E44" s="37" t="s">
        <v>518</v>
      </c>
      <c r="F44" s="38">
        <f t="shared" si="17"/>
        <v>66050.61</v>
      </c>
      <c r="G44" s="39" t="s">
        <v>51</v>
      </c>
      <c r="H44" s="39">
        <v>13</v>
      </c>
      <c r="I44" s="39">
        <v>190</v>
      </c>
      <c r="J44" s="40"/>
      <c r="K44" s="40">
        <v>57000</v>
      </c>
      <c r="L44" s="40">
        <v>60616.32</v>
      </c>
      <c r="M44" s="40"/>
      <c r="N44" s="131">
        <v>66050.61</v>
      </c>
      <c r="O44" s="1"/>
      <c r="P44" s="1"/>
      <c r="Q44" s="1"/>
      <c r="R44" s="1"/>
      <c r="S44" s="1"/>
      <c r="T44" s="164"/>
      <c r="U44" s="40">
        <v>4770.78</v>
      </c>
      <c r="V44" s="40">
        <f t="shared" si="18"/>
        <v>4913.9034000000001</v>
      </c>
      <c r="W44" s="42">
        <f t="shared" si="19"/>
        <v>15726.650241000001</v>
      </c>
      <c r="X44" s="40">
        <f t="shared" si="20"/>
        <v>5052.8716649999997</v>
      </c>
      <c r="Y44" s="42">
        <f t="shared" si="21"/>
        <v>66.050610000000006</v>
      </c>
      <c r="Z44" s="42">
        <f t="shared" si="22"/>
        <v>91810.085915999996</v>
      </c>
      <c r="AC44" s="5"/>
      <c r="AD44" s="5"/>
      <c r="AE44" s="5"/>
    </row>
    <row r="45" spans="1:31" ht="14.25" customHeight="1">
      <c r="A45" s="1" t="s">
        <v>47</v>
      </c>
      <c r="B45" s="1" t="s">
        <v>48</v>
      </c>
      <c r="C45" s="1"/>
      <c r="D45" s="36" t="s">
        <v>85</v>
      </c>
      <c r="E45" s="207" t="s">
        <v>98</v>
      </c>
      <c r="F45" s="38">
        <f>SUM(N45:T45)</f>
        <v>58386.109999999993</v>
      </c>
      <c r="G45" s="39" t="s">
        <v>51</v>
      </c>
      <c r="H45" s="39">
        <v>7</v>
      </c>
      <c r="I45" s="39">
        <v>190</v>
      </c>
      <c r="J45" s="40"/>
      <c r="K45" s="40">
        <v>50828.800000000003</v>
      </c>
      <c r="L45" s="40">
        <v>54262.27</v>
      </c>
      <c r="M45" s="40"/>
      <c r="N45" s="148">
        <v>58386.109999999993</v>
      </c>
      <c r="O45" s="41"/>
      <c r="P45" s="41"/>
      <c r="Q45" s="41"/>
      <c r="R45" s="41"/>
      <c r="S45" s="41"/>
      <c r="T45" s="132"/>
      <c r="U45" s="40">
        <v>4770.78</v>
      </c>
      <c r="V45" s="40">
        <f t="shared" si="18"/>
        <v>4913.9034000000001</v>
      </c>
      <c r="W45" s="42">
        <f>+(F45)*0.2381</f>
        <v>13901.732790999999</v>
      </c>
      <c r="X45" s="40">
        <f>F45*0.0765</f>
        <v>4466.5374149999998</v>
      </c>
      <c r="Y45" s="42">
        <f>F45*0.001</f>
        <v>58.386109999999995</v>
      </c>
      <c r="Z45" s="42">
        <f>F45+SUM(V45:Y45)</f>
        <v>81726.669715999989</v>
      </c>
      <c r="AA45" t="s">
        <v>99</v>
      </c>
      <c r="AC45" s="5"/>
      <c r="AD45" s="5"/>
      <c r="AE45" s="5"/>
    </row>
    <row r="46" spans="1:31" ht="14.25" customHeight="1">
      <c r="A46" s="1" t="s">
        <v>47</v>
      </c>
      <c r="B46" s="1" t="s">
        <v>48</v>
      </c>
      <c r="C46" s="1"/>
      <c r="D46" s="36" t="s">
        <v>85</v>
      </c>
      <c r="E46" s="205" t="s">
        <v>100</v>
      </c>
      <c r="F46" s="38">
        <f>SUM(N46:T46)</f>
        <v>76915.240000000005</v>
      </c>
      <c r="G46" s="39" t="s">
        <v>51</v>
      </c>
      <c r="H46" s="39">
        <v>8</v>
      </c>
      <c r="I46" s="39">
        <v>190</v>
      </c>
      <c r="J46" s="40"/>
      <c r="K46" s="40">
        <v>51862.400000000001</v>
      </c>
      <c r="L46" s="40">
        <v>55308.79</v>
      </c>
      <c r="M46" s="40"/>
      <c r="N46" s="131">
        <v>76915.240000000005</v>
      </c>
      <c r="O46" s="41"/>
      <c r="P46" s="41"/>
      <c r="Q46" s="41"/>
      <c r="R46" s="41"/>
      <c r="S46" s="41"/>
      <c r="T46" s="132"/>
      <c r="U46" s="40">
        <v>4770.78</v>
      </c>
      <c r="V46" s="40">
        <f t="shared" si="18"/>
        <v>4913.9034000000001</v>
      </c>
      <c r="W46" s="42">
        <f>+(F46)*0.2381</f>
        <v>18313.518644000003</v>
      </c>
      <c r="X46" s="40">
        <f>F46*0.0765</f>
        <v>5884.0158600000004</v>
      </c>
      <c r="Y46" s="42">
        <f>F46*0.001</f>
        <v>76.915240000000011</v>
      </c>
      <c r="Z46" s="42">
        <f>F46+SUM(V46:Y46)</f>
        <v>106103.59314400001</v>
      </c>
      <c r="AC46" s="5"/>
      <c r="AD46" s="5"/>
      <c r="AE46" s="5"/>
    </row>
    <row r="47" spans="1:31" ht="14.25" customHeight="1">
      <c r="A47" s="158" t="s">
        <v>47</v>
      </c>
      <c r="B47" s="158" t="s">
        <v>48</v>
      </c>
      <c r="C47" s="158"/>
      <c r="D47" s="159" t="s">
        <v>85</v>
      </c>
      <c r="E47" s="166" t="s">
        <v>528</v>
      </c>
      <c r="F47" s="38">
        <f>SUM(N47:T47)</f>
        <v>76915.240000000005</v>
      </c>
      <c r="G47" s="160"/>
      <c r="H47" s="160"/>
      <c r="I47" s="160">
        <v>190</v>
      </c>
      <c r="J47" s="161"/>
      <c r="K47" s="161">
        <v>46694.400000000001</v>
      </c>
      <c r="L47" s="161">
        <v>55000</v>
      </c>
      <c r="M47" s="161"/>
      <c r="N47" s="131">
        <v>76915.240000000005</v>
      </c>
      <c r="O47" s="167"/>
      <c r="P47" s="167"/>
      <c r="Q47" s="167"/>
      <c r="R47" s="167"/>
      <c r="S47" s="167"/>
      <c r="T47" s="168"/>
      <c r="U47" s="161">
        <v>4770.78</v>
      </c>
      <c r="V47" s="161">
        <f t="shared" si="18"/>
        <v>4913.9034000000001</v>
      </c>
      <c r="W47" s="42">
        <f>+(F47)*0.2381</f>
        <v>18313.518644000003</v>
      </c>
      <c r="X47" s="161">
        <f>F47*0.0765</f>
        <v>5884.0158600000004</v>
      </c>
      <c r="Y47" s="162">
        <f>F47*0.001</f>
        <v>76.915240000000011</v>
      </c>
      <c r="Z47" s="162">
        <f>F47+SUM(V47:Y47)</f>
        <v>106103.59314400001</v>
      </c>
      <c r="AA47" s="163"/>
      <c r="AB47" s="163"/>
      <c r="AC47" s="5"/>
      <c r="AD47" s="5"/>
      <c r="AE47" s="5"/>
    </row>
    <row r="48" spans="1:31" ht="14.25" customHeight="1">
      <c r="A48" s="1"/>
      <c r="B48" s="1"/>
      <c r="C48" s="1"/>
      <c r="D48" s="36"/>
      <c r="E48" s="137" t="s">
        <v>101</v>
      </c>
      <c r="F48" s="138">
        <f t="shared" ref="F48:L48" si="23">SUM(F33:F47)</f>
        <v>1084923.2517500001</v>
      </c>
      <c r="G48" s="138">
        <f t="shared" si="23"/>
        <v>0</v>
      </c>
      <c r="H48" s="138">
        <f t="shared" si="23"/>
        <v>184</v>
      </c>
      <c r="I48" s="138">
        <f t="shared" si="23"/>
        <v>2850</v>
      </c>
      <c r="J48" s="138">
        <f t="shared" si="23"/>
        <v>0</v>
      </c>
      <c r="K48" s="138">
        <f t="shared" si="23"/>
        <v>823492.32000000007</v>
      </c>
      <c r="L48" s="138">
        <f t="shared" si="23"/>
        <v>887291.58000000019</v>
      </c>
      <c r="M48" s="138"/>
      <c r="N48" s="140">
        <f t="shared" ref="N48:Z48" si="24">SUM(N33:N47)</f>
        <v>1013423.2517499999</v>
      </c>
      <c r="O48" s="138">
        <f t="shared" si="24"/>
        <v>7500</v>
      </c>
      <c r="P48" s="138">
        <f t="shared" si="24"/>
        <v>4000</v>
      </c>
      <c r="Q48" s="138">
        <f t="shared" si="24"/>
        <v>0</v>
      </c>
      <c r="R48" s="138">
        <f t="shared" si="24"/>
        <v>0</v>
      </c>
      <c r="S48" s="138">
        <f t="shared" si="24"/>
        <v>0</v>
      </c>
      <c r="T48" s="138">
        <f t="shared" si="24"/>
        <v>60000</v>
      </c>
      <c r="U48" s="138">
        <f t="shared" si="24"/>
        <v>73768.37999999999</v>
      </c>
      <c r="V48" s="138">
        <f t="shared" si="24"/>
        <v>75981.431400000001</v>
      </c>
      <c r="W48" s="138">
        <f t="shared" si="24"/>
        <v>258320.226241675</v>
      </c>
      <c r="X48" s="138">
        <f t="shared" si="24"/>
        <v>82996.628758874998</v>
      </c>
      <c r="Y48" s="138">
        <f t="shared" si="24"/>
        <v>1084.92325175</v>
      </c>
      <c r="Z48" s="138">
        <f t="shared" si="24"/>
        <v>1503306.4614023</v>
      </c>
      <c r="AA48" s="138"/>
      <c r="AC48" s="5"/>
      <c r="AD48" s="5"/>
      <c r="AE48" s="5"/>
    </row>
    <row r="49" spans="1:31" ht="14.25" customHeight="1">
      <c r="E49" s="149"/>
      <c r="N49" s="40"/>
      <c r="AC49" s="5"/>
      <c r="AD49" s="5"/>
      <c r="AE49" s="5"/>
    </row>
    <row r="50" spans="1:31" ht="14.25" customHeight="1">
      <c r="A50" t="s">
        <v>47</v>
      </c>
      <c r="B50" t="s">
        <v>48</v>
      </c>
      <c r="C50" s="1"/>
      <c r="D50" s="36" t="s">
        <v>102</v>
      </c>
      <c r="E50" s="37" t="s">
        <v>103</v>
      </c>
      <c r="F50" s="38">
        <f t="shared" ref="F50:F58" si="25">SUM(N50:T50)</f>
        <v>89769.381399999984</v>
      </c>
      <c r="G50" s="43" t="s">
        <v>104</v>
      </c>
      <c r="H50" s="43">
        <v>25</v>
      </c>
      <c r="I50" s="39">
        <v>190</v>
      </c>
      <c r="J50" s="40"/>
      <c r="K50" s="40">
        <v>75604.800000000003</v>
      </c>
      <c r="L50" s="40">
        <v>86436.13</v>
      </c>
      <c r="M50" s="40"/>
      <c r="N50" s="148">
        <v>89769.381399999984</v>
      </c>
      <c r="O50" s="40"/>
      <c r="P50" s="40"/>
      <c r="Q50" s="40"/>
      <c r="R50" s="40"/>
      <c r="S50" s="40"/>
      <c r="T50" s="40"/>
      <c r="U50" s="40">
        <v>9259.77</v>
      </c>
      <c r="V50" s="40">
        <f t="shared" ref="V50:V58" si="26">+U50*1.03</f>
        <v>9537.5631000000012</v>
      </c>
      <c r="W50" s="42">
        <f t="shared" ref="W50:W58" si="27">+(F50)*0.2381</f>
        <v>21374.089711339995</v>
      </c>
      <c r="X50" s="40">
        <f t="shared" ref="X50:X58" si="28">F50*0.0765</f>
        <v>6867.3576770999989</v>
      </c>
      <c r="Y50" s="42">
        <f t="shared" ref="Y50:Y58" si="29">F50*0.001</f>
        <v>89.769381399999986</v>
      </c>
      <c r="Z50" s="42">
        <f t="shared" ref="Z50:Z58" si="30">F50+SUM(V50:Y50)</f>
        <v>127638.16126983998</v>
      </c>
      <c r="AC50" s="5"/>
      <c r="AD50" s="5"/>
      <c r="AE50" s="5"/>
    </row>
    <row r="51" spans="1:31" ht="14.25" customHeight="1">
      <c r="A51" t="s">
        <v>47</v>
      </c>
      <c r="B51" t="s">
        <v>48</v>
      </c>
      <c r="D51" s="36" t="s">
        <v>102</v>
      </c>
      <c r="E51" s="37" t="s">
        <v>105</v>
      </c>
      <c r="F51" s="38">
        <f t="shared" si="25"/>
        <v>44679.767999999996</v>
      </c>
      <c r="G51" s="43" t="s">
        <v>65</v>
      </c>
      <c r="H51" s="43">
        <v>0</v>
      </c>
      <c r="I51" s="39">
        <v>190</v>
      </c>
      <c r="J51" s="40"/>
      <c r="K51" s="40">
        <v>50000</v>
      </c>
      <c r="L51" s="40">
        <v>41743.14</v>
      </c>
      <c r="M51" s="40"/>
      <c r="N51" s="148">
        <v>44679.767999999996</v>
      </c>
      <c r="O51" s="40"/>
      <c r="P51" s="40"/>
      <c r="Q51" s="40"/>
      <c r="R51" s="40"/>
      <c r="S51" s="40"/>
      <c r="T51" s="40"/>
      <c r="U51" s="40">
        <v>9260.77</v>
      </c>
      <c r="V51" s="40">
        <f t="shared" si="26"/>
        <v>9538.5931</v>
      </c>
      <c r="W51" s="42">
        <f t="shared" si="27"/>
        <v>10638.2527608</v>
      </c>
      <c r="X51" s="40">
        <f t="shared" si="28"/>
        <v>3418.0022519999998</v>
      </c>
      <c r="Y51" s="42">
        <f t="shared" si="29"/>
        <v>44.679767999999996</v>
      </c>
      <c r="Z51" s="42">
        <f t="shared" si="30"/>
        <v>68319.295880799997</v>
      </c>
      <c r="AC51" s="5"/>
      <c r="AD51" s="5"/>
      <c r="AE51" s="5"/>
    </row>
    <row r="52" spans="1:31" ht="14.25" customHeight="1">
      <c r="A52" s="1" t="s">
        <v>47</v>
      </c>
      <c r="B52" s="1" t="s">
        <v>48</v>
      </c>
      <c r="C52" s="1"/>
      <c r="D52" s="36" t="s">
        <v>102</v>
      </c>
      <c r="E52" s="37" t="s">
        <v>106</v>
      </c>
      <c r="F52" s="38">
        <f t="shared" si="25"/>
        <v>61042.793999999994</v>
      </c>
      <c r="G52" s="39" t="s">
        <v>90</v>
      </c>
      <c r="H52" s="39">
        <v>10</v>
      </c>
      <c r="I52" s="39">
        <v>190</v>
      </c>
      <c r="J52" s="40"/>
      <c r="K52" s="40">
        <v>50707.199999999997</v>
      </c>
      <c r="L52" s="40">
        <v>54059.96</v>
      </c>
      <c r="M52" s="40"/>
      <c r="N52" s="148">
        <v>57042.793999999994</v>
      </c>
      <c r="O52" s="40"/>
      <c r="P52" s="40">
        <v>4000</v>
      </c>
      <c r="Q52" s="41"/>
      <c r="R52" s="41"/>
      <c r="S52" s="41"/>
      <c r="T52" s="41"/>
      <c r="U52" s="40">
        <v>4770.78</v>
      </c>
      <c r="V52" s="40">
        <f t="shared" si="26"/>
        <v>4913.9034000000001</v>
      </c>
      <c r="W52" s="42">
        <f t="shared" si="27"/>
        <v>14534.2892514</v>
      </c>
      <c r="X52" s="40">
        <f t="shared" si="28"/>
        <v>4669.7737409999991</v>
      </c>
      <c r="Y52" s="42">
        <f t="shared" si="29"/>
        <v>61.042793999999994</v>
      </c>
      <c r="Z52" s="42">
        <f t="shared" si="30"/>
        <v>85221.803186399993</v>
      </c>
      <c r="AC52" s="5"/>
      <c r="AD52" s="5"/>
      <c r="AE52" s="5"/>
    </row>
    <row r="53" spans="1:31" ht="14.25" customHeight="1">
      <c r="A53" s="1" t="s">
        <v>47</v>
      </c>
      <c r="B53" s="1" t="s">
        <v>48</v>
      </c>
      <c r="C53" s="1"/>
      <c r="D53" s="36" t="s">
        <v>102</v>
      </c>
      <c r="E53" s="37" t="s">
        <v>107</v>
      </c>
      <c r="F53" s="38">
        <f t="shared" si="25"/>
        <v>62538.270999999993</v>
      </c>
      <c r="G53" s="169" t="s">
        <v>56</v>
      </c>
      <c r="H53" s="39">
        <v>8</v>
      </c>
      <c r="I53" s="39">
        <v>190</v>
      </c>
      <c r="J53" s="138"/>
      <c r="K53" s="138">
        <v>55738.400000000001</v>
      </c>
      <c r="L53" s="40">
        <v>59382.9</v>
      </c>
      <c r="M53" s="40"/>
      <c r="N53" s="148">
        <v>62538.270999999993</v>
      </c>
      <c r="O53" s="138"/>
      <c r="P53" s="138"/>
      <c r="Q53" s="138"/>
      <c r="R53" s="138"/>
      <c r="S53" s="138"/>
      <c r="T53" s="138"/>
      <c r="U53" s="40">
        <v>9259.77</v>
      </c>
      <c r="V53" s="40">
        <f t="shared" si="26"/>
        <v>9537.5631000000012</v>
      </c>
      <c r="W53" s="42">
        <f t="shared" si="27"/>
        <v>14890.362325099999</v>
      </c>
      <c r="X53" s="40">
        <f t="shared" si="28"/>
        <v>4784.177731499999</v>
      </c>
      <c r="Y53" s="42">
        <f t="shared" si="29"/>
        <v>62.538270999999995</v>
      </c>
      <c r="Z53" s="42">
        <f t="shared" si="30"/>
        <v>91812.912427599993</v>
      </c>
      <c r="AC53" s="5"/>
      <c r="AD53" s="5"/>
      <c r="AE53" s="5"/>
    </row>
    <row r="54" spans="1:31" ht="13.5" customHeight="1">
      <c r="A54" s="1" t="s">
        <v>47</v>
      </c>
      <c r="B54" s="1" t="s">
        <v>48</v>
      </c>
      <c r="C54" s="1"/>
      <c r="D54" s="36" t="s">
        <v>102</v>
      </c>
      <c r="E54" s="37" t="s">
        <v>108</v>
      </c>
      <c r="F54" s="38">
        <f t="shared" si="25"/>
        <v>71763.811999999991</v>
      </c>
      <c r="G54" s="43" t="s">
        <v>51</v>
      </c>
      <c r="H54" s="43">
        <v>20</v>
      </c>
      <c r="I54" s="39">
        <v>190</v>
      </c>
      <c r="J54" s="40"/>
      <c r="K54" s="40">
        <v>64752</v>
      </c>
      <c r="L54" s="40">
        <v>68623.839999999997</v>
      </c>
      <c r="M54" s="40"/>
      <c r="N54" s="148">
        <v>71763.811999999991</v>
      </c>
      <c r="O54" s="40"/>
      <c r="P54" s="40"/>
      <c r="Q54" s="40"/>
      <c r="R54" s="40"/>
      <c r="S54" s="40"/>
      <c r="T54" s="40"/>
      <c r="U54" s="40">
        <v>4770.78</v>
      </c>
      <c r="V54" s="40">
        <f t="shared" si="26"/>
        <v>4913.9034000000001</v>
      </c>
      <c r="W54" s="42">
        <f t="shared" si="27"/>
        <v>17086.963637199999</v>
      </c>
      <c r="X54" s="40">
        <f t="shared" si="28"/>
        <v>5489.9316179999996</v>
      </c>
      <c r="Y54" s="42">
        <f t="shared" si="29"/>
        <v>71.763811999999987</v>
      </c>
      <c r="Z54" s="42">
        <f t="shared" si="30"/>
        <v>99326.374467199988</v>
      </c>
      <c r="AC54" s="5"/>
      <c r="AD54" s="5"/>
      <c r="AE54" s="5"/>
    </row>
    <row r="55" spans="1:31" ht="14.25" customHeight="1">
      <c r="A55" s="1" t="s">
        <v>47</v>
      </c>
      <c r="B55" s="1" t="s">
        <v>48</v>
      </c>
      <c r="C55" s="1"/>
      <c r="D55" s="36" t="s">
        <v>102</v>
      </c>
      <c r="E55" s="37" t="s">
        <v>109</v>
      </c>
      <c r="F55" s="38">
        <f t="shared" si="25"/>
        <v>52203.569999999992</v>
      </c>
      <c r="G55" s="39" t="s">
        <v>65</v>
      </c>
      <c r="H55" s="39">
        <v>8</v>
      </c>
      <c r="I55" s="39">
        <v>190</v>
      </c>
      <c r="J55" s="40"/>
      <c r="K55" s="40">
        <v>46056</v>
      </c>
      <c r="L55" s="40">
        <v>49266.95</v>
      </c>
      <c r="M55" s="40"/>
      <c r="N55" s="148">
        <v>52203.569999999992</v>
      </c>
      <c r="O55" s="40"/>
      <c r="P55" s="41"/>
      <c r="Q55" s="41"/>
      <c r="R55" s="41"/>
      <c r="S55" s="132"/>
      <c r="T55" s="41"/>
      <c r="U55" s="40">
        <v>4770.78</v>
      </c>
      <c r="V55" s="40">
        <f t="shared" si="26"/>
        <v>4913.9034000000001</v>
      </c>
      <c r="W55" s="42">
        <f t="shared" si="27"/>
        <v>12429.670016999999</v>
      </c>
      <c r="X55" s="40">
        <f t="shared" si="28"/>
        <v>3993.5731049999995</v>
      </c>
      <c r="Y55" s="42">
        <f t="shared" si="29"/>
        <v>52.203569999999992</v>
      </c>
      <c r="Z55" s="42">
        <f t="shared" si="30"/>
        <v>73592.920091999986</v>
      </c>
      <c r="AC55" s="5"/>
      <c r="AD55" s="5"/>
      <c r="AE55" s="5"/>
    </row>
    <row r="56" spans="1:31" ht="14.25" customHeight="1">
      <c r="A56" s="1" t="s">
        <v>47</v>
      </c>
      <c r="B56" s="1" t="s">
        <v>48</v>
      </c>
      <c r="C56" s="1"/>
      <c r="D56" s="36" t="s">
        <v>102</v>
      </c>
      <c r="E56" s="205" t="s">
        <v>110</v>
      </c>
      <c r="F56" s="38">
        <f t="shared" si="25"/>
        <v>91628.593999999997</v>
      </c>
      <c r="G56" s="39" t="s">
        <v>104</v>
      </c>
      <c r="H56" s="39">
        <v>20</v>
      </c>
      <c r="I56" s="39">
        <v>190</v>
      </c>
      <c r="J56" s="40"/>
      <c r="K56" s="40">
        <v>75392</v>
      </c>
      <c r="L56" s="40">
        <v>79769.87</v>
      </c>
      <c r="M56" s="40"/>
      <c r="N56" s="148">
        <v>83128.593999999997</v>
      </c>
      <c r="O56" s="40">
        <v>7500</v>
      </c>
      <c r="P56" s="1"/>
      <c r="Q56" s="41"/>
      <c r="R56" s="41"/>
      <c r="S56" s="132">
        <v>1000</v>
      </c>
      <c r="T56" s="41"/>
      <c r="U56" s="40">
        <v>4770.78</v>
      </c>
      <c r="V56" s="40">
        <f t="shared" si="26"/>
        <v>4913.9034000000001</v>
      </c>
      <c r="W56" s="42">
        <f t="shared" si="27"/>
        <v>21816.768231400001</v>
      </c>
      <c r="X56" s="40">
        <f t="shared" si="28"/>
        <v>7009.5874409999997</v>
      </c>
      <c r="Y56" s="42">
        <f t="shared" si="29"/>
        <v>91.628593999999993</v>
      </c>
      <c r="Z56" s="42">
        <f t="shared" si="30"/>
        <v>125460.48166640001</v>
      </c>
      <c r="AC56" s="5"/>
      <c r="AD56" s="5"/>
      <c r="AE56" s="5"/>
    </row>
    <row r="57" spans="1:31" ht="14.25" customHeight="1">
      <c r="A57" s="163" t="s">
        <v>47</v>
      </c>
      <c r="B57" s="163" t="s">
        <v>48</v>
      </c>
      <c r="C57" s="163"/>
      <c r="D57" s="159" t="s">
        <v>102</v>
      </c>
      <c r="E57" s="153" t="s">
        <v>111</v>
      </c>
      <c r="F57" s="38">
        <f t="shared" si="25"/>
        <v>52032.060999999994</v>
      </c>
      <c r="G57" s="170" t="s">
        <v>51</v>
      </c>
      <c r="H57" s="170">
        <v>2</v>
      </c>
      <c r="I57" s="160">
        <v>190</v>
      </c>
      <c r="J57" s="161"/>
      <c r="K57" s="161">
        <v>50000</v>
      </c>
      <c r="L57" s="161">
        <v>48954.74</v>
      </c>
      <c r="N57" s="148">
        <v>52032.060999999994</v>
      </c>
      <c r="O57" s="40"/>
      <c r="P57" s="40"/>
      <c r="Q57" s="40"/>
      <c r="R57" s="40"/>
      <c r="S57" s="40"/>
      <c r="T57" s="40"/>
      <c r="U57" s="161">
        <v>9260.77</v>
      </c>
      <c r="V57" s="161">
        <f t="shared" si="26"/>
        <v>9538.5931</v>
      </c>
      <c r="W57" s="42">
        <f t="shared" si="27"/>
        <v>12388.833724099999</v>
      </c>
      <c r="X57" s="161">
        <f t="shared" si="28"/>
        <v>3980.4526664999994</v>
      </c>
      <c r="Y57" s="162">
        <f t="shared" si="29"/>
        <v>52.032060999999999</v>
      </c>
      <c r="Z57" s="162">
        <f t="shared" si="30"/>
        <v>77991.972551599989</v>
      </c>
      <c r="AA57" s="171"/>
      <c r="AB57" s="163"/>
      <c r="AC57" s="5"/>
      <c r="AD57" s="5"/>
      <c r="AE57" s="5"/>
    </row>
    <row r="58" spans="1:31" ht="14.25" customHeight="1">
      <c r="A58" s="163" t="s">
        <v>47</v>
      </c>
      <c r="B58" s="163" t="s">
        <v>48</v>
      </c>
      <c r="C58" s="163"/>
      <c r="D58" s="159" t="s">
        <v>102</v>
      </c>
      <c r="E58" s="172" t="s">
        <v>112</v>
      </c>
      <c r="F58" s="38">
        <f t="shared" si="25"/>
        <v>0</v>
      </c>
      <c r="G58" s="170" t="s">
        <v>51</v>
      </c>
      <c r="H58" s="170">
        <v>2</v>
      </c>
      <c r="I58" s="160">
        <v>190</v>
      </c>
      <c r="J58" s="161"/>
      <c r="K58" s="161">
        <v>50000</v>
      </c>
      <c r="L58" s="161">
        <v>48954.74</v>
      </c>
      <c r="M58" s="173"/>
      <c r="N58" s="40"/>
      <c r="O58" s="134"/>
      <c r="P58" s="134"/>
      <c r="Q58" s="134"/>
      <c r="R58" s="134"/>
      <c r="S58" s="134"/>
      <c r="T58" s="134"/>
      <c r="U58" s="161">
        <v>9260.77</v>
      </c>
      <c r="V58" s="161">
        <f t="shared" si="26"/>
        <v>9538.5931</v>
      </c>
      <c r="W58" s="42">
        <f t="shared" si="27"/>
        <v>0</v>
      </c>
      <c r="X58" s="161">
        <f t="shared" si="28"/>
        <v>0</v>
      </c>
      <c r="Y58" s="162">
        <f t="shared" si="29"/>
        <v>0</v>
      </c>
      <c r="Z58" s="162">
        <f t="shared" si="30"/>
        <v>9538.5931</v>
      </c>
      <c r="AA58" s="171"/>
      <c r="AB58" s="163"/>
      <c r="AC58" s="5"/>
      <c r="AD58" s="5"/>
      <c r="AE58" s="5"/>
    </row>
    <row r="59" spans="1:31" ht="14.25" customHeight="1">
      <c r="A59" s="1"/>
      <c r="B59" s="1"/>
      <c r="C59" s="1"/>
      <c r="D59" s="36"/>
      <c r="E59" s="137" t="s">
        <v>113</v>
      </c>
      <c r="F59" s="138">
        <f>SUM(F50:F58)</f>
        <v>525658.25139999995</v>
      </c>
      <c r="G59" s="138">
        <f t="shared" ref="G59:Z59" si="31">SUM(G50:G58)</f>
        <v>0</v>
      </c>
      <c r="H59" s="138">
        <f t="shared" si="31"/>
        <v>95</v>
      </c>
      <c r="I59" s="138">
        <f t="shared" si="31"/>
        <v>1710</v>
      </c>
      <c r="J59" s="138">
        <f t="shared" si="31"/>
        <v>0</v>
      </c>
      <c r="K59" s="138">
        <f t="shared" si="31"/>
        <v>518250.4</v>
      </c>
      <c r="L59" s="138">
        <f t="shared" si="31"/>
        <v>537192.27</v>
      </c>
      <c r="M59" s="138">
        <f t="shared" si="31"/>
        <v>0</v>
      </c>
      <c r="N59" s="138">
        <f t="shared" si="31"/>
        <v>513158.25139999995</v>
      </c>
      <c r="O59" s="138">
        <f t="shared" si="31"/>
        <v>7500</v>
      </c>
      <c r="P59" s="138">
        <f t="shared" si="31"/>
        <v>4000</v>
      </c>
      <c r="Q59" s="138">
        <f t="shared" si="31"/>
        <v>0</v>
      </c>
      <c r="R59" s="138">
        <f t="shared" si="31"/>
        <v>0</v>
      </c>
      <c r="S59" s="138">
        <f t="shared" si="31"/>
        <v>1000</v>
      </c>
      <c r="T59" s="138">
        <f t="shared" si="31"/>
        <v>0</v>
      </c>
      <c r="U59" s="138">
        <f t="shared" si="31"/>
        <v>65384.97</v>
      </c>
      <c r="V59" s="138">
        <f t="shared" si="31"/>
        <v>67346.519100000005</v>
      </c>
      <c r="W59" s="138">
        <f t="shared" si="31"/>
        <v>125159.22965833997</v>
      </c>
      <c r="X59" s="138">
        <f t="shared" si="31"/>
        <v>40212.856232099992</v>
      </c>
      <c r="Y59" s="138">
        <f t="shared" si="31"/>
        <v>525.65825139999993</v>
      </c>
      <c r="Z59" s="138">
        <f t="shared" si="31"/>
        <v>758902.51464183989</v>
      </c>
      <c r="AA59" s="138"/>
      <c r="AC59" s="5"/>
      <c r="AD59" s="5"/>
      <c r="AE59" s="5"/>
    </row>
    <row r="60" spans="1:31" ht="14.25" customHeight="1">
      <c r="N60" s="40"/>
      <c r="AC60" s="5"/>
      <c r="AD60" s="5"/>
      <c r="AE60" s="5"/>
    </row>
    <row r="61" spans="1:31" ht="14.25" customHeight="1">
      <c r="A61" t="s">
        <v>47</v>
      </c>
      <c r="B61" t="s">
        <v>48</v>
      </c>
      <c r="C61" s="1"/>
      <c r="D61" s="36" t="s">
        <v>114</v>
      </c>
      <c r="E61" s="37" t="s">
        <v>115</v>
      </c>
      <c r="F61" s="38">
        <f>SUM(N61:T61)</f>
        <v>86606.062399999995</v>
      </c>
      <c r="G61" s="39" t="s">
        <v>114</v>
      </c>
      <c r="H61" s="39">
        <v>3</v>
      </c>
      <c r="I61" s="39">
        <v>209</v>
      </c>
      <c r="J61" s="40"/>
      <c r="K61" s="40">
        <v>68770.92</v>
      </c>
      <c r="L61" s="40">
        <v>82947.12</v>
      </c>
      <c r="M61" s="40"/>
      <c r="N61" s="40">
        <f t="shared" ref="N61:N62" si="32">(+L61*1.02)+2000</f>
        <v>86606.062399999995</v>
      </c>
      <c r="O61" s="41"/>
      <c r="P61" s="40"/>
      <c r="Q61" s="41"/>
      <c r="R61" s="41"/>
      <c r="S61" s="41"/>
      <c r="T61" s="41"/>
      <c r="U61" s="40">
        <v>9259.77</v>
      </c>
      <c r="V61" s="40">
        <f t="shared" ref="V61:V62" si="33">+U61*1.03</f>
        <v>9537.5631000000012</v>
      </c>
      <c r="W61" s="42">
        <f>+(F61)*0.2381</f>
        <v>20620.903457439999</v>
      </c>
      <c r="X61" s="40">
        <f>F61*0.0765</f>
        <v>6625.3637735999991</v>
      </c>
      <c r="Y61" s="42">
        <f>F61*0.001</f>
        <v>86.606062399999999</v>
      </c>
      <c r="Z61" s="42">
        <f>F61+SUM(V61:Y61)</f>
        <v>123476.49879344</v>
      </c>
      <c r="AA61" s="1"/>
      <c r="AC61" s="5"/>
      <c r="AD61" s="5"/>
      <c r="AE61" s="5"/>
    </row>
    <row r="62" spans="1:31" ht="14.25" customHeight="1">
      <c r="A62" s="1" t="s">
        <v>47</v>
      </c>
      <c r="B62" s="1" t="s">
        <v>48</v>
      </c>
      <c r="C62" s="1"/>
      <c r="D62" s="36" t="s">
        <v>114</v>
      </c>
      <c r="E62" s="37" t="s">
        <v>116</v>
      </c>
      <c r="F62" s="38">
        <f>SUM(N62:T62)</f>
        <v>90548.779200000004</v>
      </c>
      <c r="G62" s="39" t="s">
        <v>114</v>
      </c>
      <c r="H62" s="39">
        <v>8</v>
      </c>
      <c r="I62" s="39">
        <v>240</v>
      </c>
      <c r="J62" s="40"/>
      <c r="K62" s="40">
        <v>78475</v>
      </c>
      <c r="L62" s="40">
        <v>82890.960000000006</v>
      </c>
      <c r="M62" s="40"/>
      <c r="N62" s="40">
        <f t="shared" si="32"/>
        <v>86548.779200000004</v>
      </c>
      <c r="O62" s="41"/>
      <c r="P62" s="40">
        <v>4000</v>
      </c>
      <c r="Q62" s="41"/>
      <c r="R62" s="41"/>
      <c r="S62" s="41"/>
      <c r="T62" s="41"/>
      <c r="U62" s="40">
        <v>4770.78</v>
      </c>
      <c r="V62" s="40">
        <f t="shared" si="33"/>
        <v>4913.9034000000001</v>
      </c>
      <c r="W62" s="42">
        <f>+(F62)*0.2381</f>
        <v>21559.66432752</v>
      </c>
      <c r="X62" s="40">
        <f>F62*0.0765</f>
        <v>6926.9816087999998</v>
      </c>
      <c r="Y62" s="42">
        <f>F62*0.001</f>
        <v>90.548779200000013</v>
      </c>
      <c r="Z62" s="42">
        <f>F62+SUM(V62:Y62)</f>
        <v>124039.87731552</v>
      </c>
      <c r="AA62" s="1"/>
      <c r="AC62" s="5"/>
      <c r="AD62" s="5"/>
      <c r="AE62" s="5"/>
    </row>
    <row r="63" spans="1:31" ht="14.25" customHeight="1">
      <c r="D63" s="36"/>
      <c r="E63" s="137" t="s">
        <v>117</v>
      </c>
      <c r="F63" s="138">
        <f>SUM(F61:F62)</f>
        <v>177154.84159999999</v>
      </c>
      <c r="G63" s="138">
        <f t="shared" ref="G63:L63" si="34">SUM(G61:G62)</f>
        <v>0</v>
      </c>
      <c r="H63" s="138">
        <f t="shared" si="34"/>
        <v>11</v>
      </c>
      <c r="I63" s="138">
        <f t="shared" si="34"/>
        <v>449</v>
      </c>
      <c r="J63" s="138">
        <f t="shared" si="34"/>
        <v>0</v>
      </c>
      <c r="K63" s="138">
        <f t="shared" si="34"/>
        <v>147245.91999999998</v>
      </c>
      <c r="L63" s="138">
        <f t="shared" si="34"/>
        <v>165838.08000000002</v>
      </c>
      <c r="M63" s="138"/>
      <c r="N63" s="140">
        <f>SUM(N61:N62)</f>
        <v>173154.84159999999</v>
      </c>
      <c r="O63" s="138">
        <f t="shared" ref="O63:Z63" si="35">SUM(O61:O62)</f>
        <v>0</v>
      </c>
      <c r="P63" s="138">
        <f t="shared" si="35"/>
        <v>4000</v>
      </c>
      <c r="Q63" s="138">
        <f t="shared" si="35"/>
        <v>0</v>
      </c>
      <c r="R63" s="138">
        <f t="shared" si="35"/>
        <v>0</v>
      </c>
      <c r="S63" s="138">
        <f t="shared" si="35"/>
        <v>0</v>
      </c>
      <c r="T63" s="138">
        <f t="shared" si="35"/>
        <v>0</v>
      </c>
      <c r="U63" s="138">
        <f t="shared" si="35"/>
        <v>14030.55</v>
      </c>
      <c r="V63" s="138">
        <f t="shared" si="35"/>
        <v>14451.466500000002</v>
      </c>
      <c r="W63" s="138">
        <f t="shared" si="35"/>
        <v>42180.567784960003</v>
      </c>
      <c r="X63" s="138">
        <f t="shared" si="35"/>
        <v>13552.345382399999</v>
      </c>
      <c r="Y63" s="138">
        <f t="shared" si="35"/>
        <v>177.1548416</v>
      </c>
      <c r="Z63" s="138">
        <f t="shared" si="35"/>
        <v>247516.37610896002</v>
      </c>
      <c r="AA63" s="138"/>
      <c r="AC63" s="5"/>
      <c r="AD63" s="5"/>
      <c r="AE63" s="5"/>
    </row>
    <row r="64" spans="1:31" ht="14.25" customHeight="1">
      <c r="D64" s="36"/>
      <c r="E64" s="156"/>
      <c r="F64" s="38"/>
      <c r="G64" s="39"/>
      <c r="H64" s="39"/>
      <c r="I64" s="39"/>
      <c r="J64" s="40"/>
      <c r="K64" s="40"/>
      <c r="L64" s="40"/>
      <c r="M64" s="40"/>
      <c r="N64" s="40"/>
      <c r="O64" s="41"/>
      <c r="P64" s="41"/>
      <c r="Q64" s="41"/>
      <c r="R64" s="41"/>
      <c r="S64" s="41"/>
      <c r="U64" s="40"/>
      <c r="V64" s="40"/>
      <c r="W64" s="42"/>
      <c r="X64" s="40"/>
      <c r="Y64" s="42"/>
      <c r="Z64" s="42"/>
      <c r="AC64" s="5"/>
      <c r="AD64" s="5"/>
      <c r="AE64" s="5"/>
    </row>
    <row r="65" spans="1:31" ht="14.25" customHeight="1">
      <c r="A65" t="s">
        <v>47</v>
      </c>
      <c r="B65" t="s">
        <v>48</v>
      </c>
      <c r="D65" s="36" t="s">
        <v>118</v>
      </c>
      <c r="E65" s="143" t="s">
        <v>119</v>
      </c>
      <c r="F65" s="38">
        <f t="shared" ref="F65:F76" si="36">SUM(N65:T65)</f>
        <v>45631.796999999999</v>
      </c>
      <c r="G65" s="39" t="s">
        <v>65</v>
      </c>
      <c r="H65" s="39">
        <v>1</v>
      </c>
      <c r="I65" s="39">
        <v>190</v>
      </c>
      <c r="J65" s="40"/>
      <c r="K65" s="40">
        <v>39675</v>
      </c>
      <c r="L65" s="40">
        <v>42679.77</v>
      </c>
      <c r="M65" s="40"/>
      <c r="N65" s="148">
        <v>45631.796999999999</v>
      </c>
      <c r="O65" s="41"/>
      <c r="P65" s="41"/>
      <c r="Q65" s="41"/>
      <c r="R65" s="41"/>
      <c r="S65" s="41"/>
      <c r="T65" s="165"/>
      <c r="U65" s="40">
        <v>4770.78</v>
      </c>
      <c r="V65" s="40">
        <f t="shared" ref="V65:V76" si="37">+U65*1.03</f>
        <v>4913.9034000000001</v>
      </c>
      <c r="W65" s="42">
        <f t="shared" ref="W65:W76" si="38">+(F65)*0.2381</f>
        <v>10864.9308657</v>
      </c>
      <c r="X65" s="40">
        <f t="shared" ref="X65:X76" si="39">F65*0.0765</f>
        <v>3490.8324705</v>
      </c>
      <c r="Y65" s="42">
        <f t="shared" ref="Y65:Y76" si="40">F65*0.001</f>
        <v>45.631796999999999</v>
      </c>
      <c r="Z65" s="42">
        <f t="shared" ref="Z65:Z76" si="41">F65+SUM(V65:Y65)</f>
        <v>64947.095533200001</v>
      </c>
      <c r="AA65" s="174"/>
      <c r="AC65" s="5"/>
      <c r="AD65" s="5"/>
      <c r="AE65" s="5"/>
    </row>
    <row r="66" spans="1:31" ht="14.25" customHeight="1">
      <c r="A66" t="s">
        <v>47</v>
      </c>
      <c r="B66" t="s">
        <v>48</v>
      </c>
      <c r="D66" s="36" t="s">
        <v>118</v>
      </c>
      <c r="E66" s="37" t="s">
        <v>120</v>
      </c>
      <c r="F66" s="38">
        <f t="shared" si="36"/>
        <v>56840.474999999999</v>
      </c>
      <c r="G66" s="39" t="s">
        <v>56</v>
      </c>
      <c r="H66" s="39">
        <v>3</v>
      </c>
      <c r="I66" s="39">
        <v>190</v>
      </c>
      <c r="J66" s="40"/>
      <c r="K66" s="40">
        <v>50205.599999999999</v>
      </c>
      <c r="L66" s="40">
        <f>+K66*1.055</f>
        <v>52966.907999999996</v>
      </c>
      <c r="M66" s="40"/>
      <c r="N66" s="148">
        <v>56840.474999999999</v>
      </c>
      <c r="O66" s="41"/>
      <c r="P66" s="41"/>
      <c r="Q66" s="41"/>
      <c r="R66" s="41"/>
      <c r="S66" s="41"/>
      <c r="T66" s="41"/>
      <c r="U66" s="40">
        <v>4770.78</v>
      </c>
      <c r="V66" s="40">
        <f t="shared" si="37"/>
        <v>4913.9034000000001</v>
      </c>
      <c r="W66" s="42">
        <f t="shared" si="38"/>
        <v>13533.717097500001</v>
      </c>
      <c r="X66" s="40">
        <f t="shared" si="39"/>
        <v>4348.2963374999999</v>
      </c>
      <c r="Y66" s="42">
        <f t="shared" si="40"/>
        <v>56.840474999999998</v>
      </c>
      <c r="Z66" s="42">
        <f t="shared" si="41"/>
        <v>79693.232309999992</v>
      </c>
      <c r="AC66" s="5"/>
      <c r="AD66" s="5"/>
      <c r="AE66" s="5"/>
    </row>
    <row r="67" spans="1:31" ht="14.25" customHeight="1">
      <c r="A67" t="s">
        <v>47</v>
      </c>
      <c r="B67" t="s">
        <v>48</v>
      </c>
      <c r="D67" s="36" t="s">
        <v>118</v>
      </c>
      <c r="E67" s="37" t="s">
        <v>121</v>
      </c>
      <c r="F67" s="38">
        <f t="shared" si="36"/>
        <v>59636.109999999993</v>
      </c>
      <c r="G67" s="39" t="s">
        <v>51</v>
      </c>
      <c r="H67" s="39">
        <v>8</v>
      </c>
      <c r="I67" s="39">
        <v>190</v>
      </c>
      <c r="J67" s="40"/>
      <c r="K67" s="40">
        <v>51862.400000000001</v>
      </c>
      <c r="L67" s="40">
        <v>55308.79</v>
      </c>
      <c r="M67" s="40"/>
      <c r="N67" s="148">
        <v>58386.109999999993</v>
      </c>
      <c r="O67" s="41"/>
      <c r="P67" s="41"/>
      <c r="Q67" s="41"/>
      <c r="R67" s="41"/>
      <c r="S67" s="132">
        <v>500</v>
      </c>
      <c r="T67" s="132">
        <v>750</v>
      </c>
      <c r="U67" s="40">
        <v>4770.78</v>
      </c>
      <c r="V67" s="40">
        <f t="shared" si="37"/>
        <v>4913.9034000000001</v>
      </c>
      <c r="W67" s="42">
        <f t="shared" si="38"/>
        <v>14199.357790999999</v>
      </c>
      <c r="X67" s="40">
        <f t="shared" si="39"/>
        <v>4562.1624149999998</v>
      </c>
      <c r="Y67" s="42">
        <f t="shared" si="40"/>
        <v>59.636109999999995</v>
      </c>
      <c r="Z67" s="42">
        <f t="shared" si="41"/>
        <v>83371.169715999989</v>
      </c>
      <c r="AC67" s="5"/>
      <c r="AD67" s="5"/>
      <c r="AE67" s="5"/>
    </row>
    <row r="68" spans="1:31" ht="14.25" customHeight="1">
      <c r="A68" t="s">
        <v>47</v>
      </c>
      <c r="B68" t="s">
        <v>48</v>
      </c>
      <c r="D68" s="36" t="s">
        <v>118</v>
      </c>
      <c r="E68" s="37" t="s">
        <v>122</v>
      </c>
      <c r="F68" s="38">
        <f t="shared" si="36"/>
        <v>78640.603999999992</v>
      </c>
      <c r="G68" s="39" t="s">
        <v>51</v>
      </c>
      <c r="H68" s="39">
        <v>26</v>
      </c>
      <c r="I68" s="39">
        <v>190</v>
      </c>
      <c r="J68" s="40"/>
      <c r="K68" s="40">
        <v>71424.800000000003</v>
      </c>
      <c r="L68" s="40">
        <v>75499.399999999994</v>
      </c>
      <c r="M68" s="40"/>
      <c r="N68" s="148">
        <v>78640.603999999992</v>
      </c>
      <c r="O68" s="41"/>
      <c r="P68" s="41"/>
      <c r="Q68" s="41"/>
      <c r="R68" s="41"/>
      <c r="S68" s="41"/>
      <c r="T68" s="41"/>
      <c r="U68" s="40">
        <v>4770.78</v>
      </c>
      <c r="V68" s="40">
        <f t="shared" si="37"/>
        <v>4913.9034000000001</v>
      </c>
      <c r="W68" s="42">
        <f t="shared" si="38"/>
        <v>18724.327812399999</v>
      </c>
      <c r="X68" s="40">
        <f t="shared" si="39"/>
        <v>6016.0062059999991</v>
      </c>
      <c r="Y68" s="42">
        <f t="shared" si="40"/>
        <v>78.640603999999996</v>
      </c>
      <c r="Z68" s="42">
        <f t="shared" si="41"/>
        <v>108373.48202239998</v>
      </c>
      <c r="AC68" s="5"/>
      <c r="AD68" s="5"/>
      <c r="AE68" s="5"/>
    </row>
    <row r="69" spans="1:31" ht="14.25" customHeight="1">
      <c r="A69" t="s">
        <v>47</v>
      </c>
      <c r="B69" t="s">
        <v>48</v>
      </c>
      <c r="D69" s="36" t="s">
        <v>118</v>
      </c>
      <c r="E69" s="37" t="s">
        <v>123</v>
      </c>
      <c r="F69" s="38">
        <f t="shared" si="36"/>
        <v>52032.060999999994</v>
      </c>
      <c r="G69" s="39" t="s">
        <v>51</v>
      </c>
      <c r="H69" s="39">
        <v>2</v>
      </c>
      <c r="I69" s="39">
        <v>190</v>
      </c>
      <c r="J69" s="40"/>
      <c r="K69" s="40">
        <v>45676</v>
      </c>
      <c r="L69" s="40">
        <v>48954.74</v>
      </c>
      <c r="M69" s="40"/>
      <c r="N69" s="148">
        <v>52032.060999999994</v>
      </c>
      <c r="O69" s="41"/>
      <c r="P69" s="41"/>
      <c r="Q69" s="41"/>
      <c r="R69" s="41"/>
      <c r="S69" s="132"/>
      <c r="T69" s="41"/>
      <c r="U69" s="40">
        <v>4770.78</v>
      </c>
      <c r="V69" s="40">
        <f t="shared" si="37"/>
        <v>4913.9034000000001</v>
      </c>
      <c r="W69" s="42">
        <f t="shared" si="38"/>
        <v>12388.833724099999</v>
      </c>
      <c r="X69" s="40">
        <f t="shared" si="39"/>
        <v>3980.4526664999994</v>
      </c>
      <c r="Y69" s="42">
        <f t="shared" si="40"/>
        <v>52.032060999999999</v>
      </c>
      <c r="Z69" s="42">
        <f t="shared" si="41"/>
        <v>73367.282851600001</v>
      </c>
      <c r="AC69" s="5"/>
      <c r="AD69" s="5"/>
      <c r="AE69" s="5"/>
    </row>
    <row r="70" spans="1:31" ht="14.25" customHeight="1">
      <c r="A70" t="s">
        <v>47</v>
      </c>
      <c r="B70" t="s">
        <v>48</v>
      </c>
      <c r="D70" s="36" t="s">
        <v>118</v>
      </c>
      <c r="E70" s="37" t="s">
        <v>124</v>
      </c>
      <c r="F70" s="38">
        <f t="shared" si="36"/>
        <v>61382.895999999993</v>
      </c>
      <c r="G70" s="39" t="s">
        <v>56</v>
      </c>
      <c r="H70" s="39">
        <v>7</v>
      </c>
      <c r="I70" s="39">
        <v>190</v>
      </c>
      <c r="J70" s="40"/>
      <c r="K70" s="40">
        <v>50828.800000000003</v>
      </c>
      <c r="L70" s="40">
        <v>58242.93</v>
      </c>
      <c r="M70" s="40"/>
      <c r="N70" s="148">
        <v>61382.895999999993</v>
      </c>
      <c r="O70" s="41"/>
      <c r="P70" s="41"/>
      <c r="Q70" s="41"/>
      <c r="R70" s="41"/>
      <c r="S70" s="132"/>
      <c r="T70" s="41"/>
      <c r="U70" s="40">
        <v>4770.78</v>
      </c>
      <c r="V70" s="40">
        <f t="shared" si="37"/>
        <v>4913.9034000000001</v>
      </c>
      <c r="W70" s="42">
        <f t="shared" si="38"/>
        <v>14615.267537599999</v>
      </c>
      <c r="X70" s="40">
        <f t="shared" si="39"/>
        <v>4695.7915439999997</v>
      </c>
      <c r="Y70" s="42">
        <f t="shared" si="40"/>
        <v>61.382895999999995</v>
      </c>
      <c r="Z70" s="42">
        <f t="shared" si="41"/>
        <v>85669.241377599988</v>
      </c>
      <c r="AC70" s="5"/>
      <c r="AD70" s="5"/>
      <c r="AE70" s="5"/>
    </row>
    <row r="71" spans="1:31" ht="14.25" customHeight="1">
      <c r="A71" t="s">
        <v>47</v>
      </c>
      <c r="B71" t="s">
        <v>48</v>
      </c>
      <c r="D71" s="36" t="s">
        <v>118</v>
      </c>
      <c r="E71" s="37" t="s">
        <v>125</v>
      </c>
      <c r="F71" s="38">
        <f t="shared" si="36"/>
        <v>84306.562999999995</v>
      </c>
      <c r="G71" s="39" t="s">
        <v>56</v>
      </c>
      <c r="H71" s="39">
        <v>31</v>
      </c>
      <c r="I71" s="39">
        <v>190</v>
      </c>
      <c r="J71" s="40"/>
      <c r="K71" s="40">
        <v>76775.199999999997</v>
      </c>
      <c r="L71" s="40">
        <v>81078.070000000007</v>
      </c>
      <c r="M71" s="40"/>
      <c r="N71" s="148">
        <v>84306.562999999995</v>
      </c>
      <c r="O71" s="41"/>
      <c r="P71" s="41"/>
      <c r="Q71" s="41"/>
      <c r="R71" s="41"/>
      <c r="S71" s="132"/>
      <c r="T71" s="41"/>
      <c r="U71" s="40">
        <v>4770.78</v>
      </c>
      <c r="V71" s="40">
        <f t="shared" si="37"/>
        <v>4913.9034000000001</v>
      </c>
      <c r="W71" s="42">
        <f t="shared" si="38"/>
        <v>20073.3926503</v>
      </c>
      <c r="X71" s="40">
        <f t="shared" si="39"/>
        <v>6449.4520694999992</v>
      </c>
      <c r="Y71" s="42">
        <f t="shared" si="40"/>
        <v>84.306562999999997</v>
      </c>
      <c r="Z71" s="42">
        <f t="shared" si="41"/>
        <v>115827.61768279999</v>
      </c>
      <c r="AC71" s="5"/>
      <c r="AD71" s="5"/>
      <c r="AE71" s="5"/>
    </row>
    <row r="72" spans="1:31" ht="14.25" customHeight="1">
      <c r="A72" t="s">
        <v>47</v>
      </c>
      <c r="B72" t="s">
        <v>48</v>
      </c>
      <c r="D72" s="36" t="s">
        <v>118</v>
      </c>
      <c r="E72" s="205" t="s">
        <v>126</v>
      </c>
      <c r="F72" s="38">
        <f t="shared" si="36"/>
        <v>64493.513999999996</v>
      </c>
      <c r="G72" s="39" t="s">
        <v>51</v>
      </c>
      <c r="H72" s="39">
        <v>17</v>
      </c>
      <c r="I72" s="39">
        <v>190</v>
      </c>
      <c r="J72" s="40"/>
      <c r="K72" s="40">
        <v>61392.800000000003</v>
      </c>
      <c r="L72" s="40">
        <v>65174.15</v>
      </c>
      <c r="M72" s="40"/>
      <c r="N72" s="148">
        <v>60493.513999999996</v>
      </c>
      <c r="O72" s="41"/>
      <c r="P72" s="40">
        <v>4000</v>
      </c>
      <c r="Q72" s="41"/>
      <c r="R72" s="41"/>
      <c r="S72" s="132"/>
      <c r="T72" s="41"/>
      <c r="U72" s="40">
        <v>4770.78</v>
      </c>
      <c r="V72" s="40">
        <f t="shared" si="37"/>
        <v>4913.9034000000001</v>
      </c>
      <c r="W72" s="42">
        <f t="shared" si="38"/>
        <v>15355.905683399998</v>
      </c>
      <c r="X72" s="40">
        <f t="shared" si="39"/>
        <v>4933.7538209999993</v>
      </c>
      <c r="Y72" s="42">
        <f t="shared" si="40"/>
        <v>64.49351399999999</v>
      </c>
      <c r="Z72" s="42">
        <f t="shared" si="41"/>
        <v>89761.570418399991</v>
      </c>
      <c r="AC72" s="5"/>
      <c r="AD72" s="5"/>
      <c r="AE72" s="5"/>
    </row>
    <row r="73" spans="1:31" ht="14.25" customHeight="1">
      <c r="A73" t="s">
        <v>47</v>
      </c>
      <c r="B73" t="s">
        <v>48</v>
      </c>
      <c r="D73" s="36" t="s">
        <v>118</v>
      </c>
      <c r="E73" s="37" t="s">
        <v>519</v>
      </c>
      <c r="F73" s="38">
        <f t="shared" si="36"/>
        <v>68344.929000000004</v>
      </c>
      <c r="G73" s="39" t="s">
        <v>51</v>
      </c>
      <c r="H73" s="39">
        <v>33</v>
      </c>
      <c r="I73" s="39">
        <v>190</v>
      </c>
      <c r="J73" s="40"/>
      <c r="K73" s="40">
        <v>71424.800000000003</v>
      </c>
      <c r="L73" s="40">
        <v>75499.399999999994</v>
      </c>
      <c r="M73" s="40"/>
      <c r="N73" s="148">
        <v>68344.929000000004</v>
      </c>
      <c r="O73" s="1"/>
      <c r="P73" s="40"/>
      <c r="Q73" s="1"/>
      <c r="R73" s="1"/>
      <c r="S73" s="164"/>
      <c r="T73" s="1"/>
      <c r="U73" s="40">
        <v>7218.848</v>
      </c>
      <c r="V73" s="40">
        <f t="shared" si="37"/>
        <v>7435.4134400000003</v>
      </c>
      <c r="W73" s="42">
        <f t="shared" si="38"/>
        <v>16272.927594900002</v>
      </c>
      <c r="X73" s="40">
        <f t="shared" si="39"/>
        <v>5228.3870685000002</v>
      </c>
      <c r="Y73" s="42">
        <f t="shared" si="40"/>
        <v>68.344929000000008</v>
      </c>
      <c r="Z73" s="42">
        <f t="shared" si="41"/>
        <v>97350.002032400007</v>
      </c>
      <c r="AC73" s="5"/>
      <c r="AD73" s="5"/>
      <c r="AE73" s="5"/>
    </row>
    <row r="74" spans="1:31" ht="14.25" customHeight="1">
      <c r="A74" t="s">
        <v>47</v>
      </c>
      <c r="B74" t="s">
        <v>48</v>
      </c>
      <c r="D74" s="36" t="s">
        <v>118</v>
      </c>
      <c r="E74" s="205" t="s">
        <v>127</v>
      </c>
      <c r="F74" s="38">
        <f t="shared" si="36"/>
        <v>86640.603999999992</v>
      </c>
      <c r="G74" s="39" t="s">
        <v>90</v>
      </c>
      <c r="H74" s="39">
        <v>1</v>
      </c>
      <c r="I74" s="39">
        <v>190</v>
      </c>
      <c r="J74" s="40"/>
      <c r="K74" s="40">
        <v>39675</v>
      </c>
      <c r="L74" s="40">
        <v>45099.38</v>
      </c>
      <c r="M74" s="40"/>
      <c r="N74" s="148">
        <v>78640.603999999992</v>
      </c>
      <c r="O74" s="40">
        <v>7500</v>
      </c>
      <c r="P74" s="1"/>
      <c r="Q74" s="41"/>
      <c r="R74" s="41"/>
      <c r="S74" s="132">
        <v>500</v>
      </c>
      <c r="T74" s="41"/>
      <c r="U74" s="40">
        <v>4770.78</v>
      </c>
      <c r="V74" s="40">
        <f t="shared" si="37"/>
        <v>4913.9034000000001</v>
      </c>
      <c r="W74" s="42">
        <f t="shared" si="38"/>
        <v>20629.127812399998</v>
      </c>
      <c r="X74" s="40">
        <f t="shared" si="39"/>
        <v>6628.0062059999991</v>
      </c>
      <c r="Y74" s="42">
        <f t="shared" si="40"/>
        <v>86.640603999999996</v>
      </c>
      <c r="Z74" s="42">
        <f t="shared" si="41"/>
        <v>118898.28202239999</v>
      </c>
      <c r="AC74" s="5"/>
      <c r="AD74" s="5"/>
      <c r="AE74" s="5"/>
    </row>
    <row r="75" spans="1:31" ht="14.25" customHeight="1">
      <c r="A75" t="s">
        <v>47</v>
      </c>
      <c r="B75" t="s">
        <v>48</v>
      </c>
      <c r="D75" s="36" t="s">
        <v>118</v>
      </c>
      <c r="E75" s="37" t="s">
        <v>128</v>
      </c>
      <c r="F75" s="38">
        <f t="shared" si="36"/>
        <v>48098.650999999998</v>
      </c>
      <c r="G75" s="39" t="s">
        <v>51</v>
      </c>
      <c r="H75" s="39">
        <v>7</v>
      </c>
      <c r="I75" s="39">
        <v>190</v>
      </c>
      <c r="J75" s="40"/>
      <c r="K75" s="40">
        <v>50828.800000000003</v>
      </c>
      <c r="L75" s="40">
        <v>54262.27</v>
      </c>
      <c r="M75" s="40"/>
      <c r="N75" s="148">
        <v>48098.650999999998</v>
      </c>
      <c r="O75" s="41"/>
      <c r="P75" s="41"/>
      <c r="Q75" s="41"/>
      <c r="R75" s="41"/>
      <c r="S75" s="41"/>
      <c r="T75" s="165"/>
      <c r="U75" s="40">
        <v>7218.848</v>
      </c>
      <c r="V75" s="40">
        <f t="shared" si="37"/>
        <v>7435.4134400000003</v>
      </c>
      <c r="W75" s="42">
        <f t="shared" si="38"/>
        <v>11452.2888031</v>
      </c>
      <c r="X75" s="40">
        <f t="shared" si="39"/>
        <v>3679.5468014999997</v>
      </c>
      <c r="Y75" s="42">
        <f t="shared" si="40"/>
        <v>48.098650999999997</v>
      </c>
      <c r="Z75" s="42">
        <f t="shared" si="41"/>
        <v>70713.998695599992</v>
      </c>
      <c r="AC75" s="5"/>
      <c r="AD75" s="5"/>
      <c r="AE75" s="5"/>
    </row>
    <row r="76" spans="1:31" ht="14.25" customHeight="1">
      <c r="A76" t="s">
        <v>47</v>
      </c>
      <c r="B76" t="s">
        <v>48</v>
      </c>
      <c r="D76" s="143" t="s">
        <v>118</v>
      </c>
      <c r="E76" s="37" t="s">
        <v>129</v>
      </c>
      <c r="F76" s="38">
        <f t="shared" si="36"/>
        <v>57308.786999999997</v>
      </c>
      <c r="G76" s="39" t="s">
        <v>51</v>
      </c>
      <c r="H76" s="39">
        <v>31</v>
      </c>
      <c r="I76" s="39">
        <v>190</v>
      </c>
      <c r="J76" s="40"/>
      <c r="K76" s="40">
        <v>71424.800000000003</v>
      </c>
      <c r="L76" s="40">
        <v>75499.399999999994</v>
      </c>
      <c r="M76" s="40"/>
      <c r="N76" s="148">
        <v>57308.786999999997</v>
      </c>
      <c r="O76" s="41"/>
      <c r="P76" s="41"/>
      <c r="Q76" s="41"/>
      <c r="R76" s="41"/>
      <c r="S76" s="132"/>
      <c r="T76" s="41"/>
      <c r="U76" s="40">
        <v>9259.768</v>
      </c>
      <c r="V76" s="40">
        <f t="shared" si="37"/>
        <v>9537.5610400000005</v>
      </c>
      <c r="W76" s="42">
        <f t="shared" si="38"/>
        <v>13645.2221847</v>
      </c>
      <c r="X76" s="40">
        <f t="shared" si="39"/>
        <v>4384.1222054999998</v>
      </c>
      <c r="Y76" s="42">
        <f t="shared" si="40"/>
        <v>57.308786999999995</v>
      </c>
      <c r="Z76" s="42">
        <f t="shared" si="41"/>
        <v>84933.001217199999</v>
      </c>
      <c r="AC76" s="5"/>
      <c r="AD76" s="5"/>
      <c r="AE76" s="5"/>
    </row>
    <row r="77" spans="1:31" ht="14.25" customHeight="1">
      <c r="D77" s="36"/>
      <c r="E77" s="137" t="s">
        <v>130</v>
      </c>
      <c r="F77" s="138">
        <f>SUM(F65:F76)</f>
        <v>763356.99099999981</v>
      </c>
      <c r="G77" s="138">
        <f t="shared" ref="G77:L77" si="42">SUM(G65:G76)</f>
        <v>0</v>
      </c>
      <c r="H77" s="138">
        <f t="shared" si="42"/>
        <v>167</v>
      </c>
      <c r="I77" s="138">
        <f t="shared" si="42"/>
        <v>2280</v>
      </c>
      <c r="J77" s="138">
        <f t="shared" si="42"/>
        <v>0</v>
      </c>
      <c r="K77" s="138">
        <f t="shared" si="42"/>
        <v>681194</v>
      </c>
      <c r="L77" s="138">
        <f t="shared" si="42"/>
        <v>730265.2080000001</v>
      </c>
      <c r="M77" s="138"/>
      <c r="N77" s="140">
        <f>SUM(N65:N76)</f>
        <v>750106.99099999981</v>
      </c>
      <c r="O77" s="138">
        <f t="shared" ref="O77:Z77" si="43">SUM(O65:O76)</f>
        <v>7500</v>
      </c>
      <c r="P77" s="138">
        <f t="shared" si="43"/>
        <v>4000</v>
      </c>
      <c r="Q77" s="138">
        <f t="shared" si="43"/>
        <v>0</v>
      </c>
      <c r="R77" s="138">
        <f t="shared" si="43"/>
        <v>0</v>
      </c>
      <c r="S77" s="138">
        <f t="shared" si="43"/>
        <v>1000</v>
      </c>
      <c r="T77" s="138">
        <f t="shared" si="43"/>
        <v>750</v>
      </c>
      <c r="U77" s="138">
        <f t="shared" si="43"/>
        <v>66634.483999999997</v>
      </c>
      <c r="V77" s="138">
        <f t="shared" si="43"/>
        <v>68633.518519999998</v>
      </c>
      <c r="W77" s="138">
        <f t="shared" si="43"/>
        <v>181755.29955709999</v>
      </c>
      <c r="X77" s="138">
        <f t="shared" si="43"/>
        <v>58396.809811500003</v>
      </c>
      <c r="Y77" s="138">
        <f t="shared" si="43"/>
        <v>763.35699099999988</v>
      </c>
      <c r="Z77" s="138">
        <f t="shared" si="43"/>
        <v>1072905.9758795998</v>
      </c>
      <c r="AC77" s="5"/>
      <c r="AD77" s="5"/>
      <c r="AE77" s="5"/>
    </row>
    <row r="78" spans="1:31" ht="14.25" customHeight="1">
      <c r="D78" s="143"/>
      <c r="E78" s="156"/>
      <c r="F78" s="38"/>
      <c r="G78" s="39"/>
      <c r="H78" s="39"/>
      <c r="I78" s="39"/>
      <c r="J78" s="40"/>
      <c r="K78" s="40"/>
      <c r="L78" s="40"/>
      <c r="M78" s="40"/>
      <c r="N78" s="40"/>
      <c r="O78" s="41"/>
      <c r="P78" s="41"/>
      <c r="Q78" s="41"/>
      <c r="R78" s="41"/>
      <c r="S78" s="41"/>
      <c r="T78" s="132"/>
      <c r="U78" s="40"/>
      <c r="V78" s="40"/>
      <c r="W78" s="42"/>
      <c r="X78" s="40"/>
      <c r="Y78" s="42"/>
      <c r="Z78" s="42"/>
      <c r="AC78" s="5"/>
      <c r="AD78" s="5"/>
      <c r="AE78" s="5"/>
    </row>
    <row r="79" spans="1:31" ht="14.25" customHeight="1">
      <c r="D79" s="143"/>
      <c r="E79" s="156"/>
      <c r="F79" s="38"/>
      <c r="G79" s="39"/>
      <c r="H79" s="39"/>
      <c r="I79" s="39"/>
      <c r="J79" s="40"/>
      <c r="K79" s="40"/>
      <c r="L79" s="40"/>
      <c r="M79" s="40"/>
      <c r="N79" s="40"/>
      <c r="O79" s="41"/>
      <c r="P79" s="41"/>
      <c r="Q79" s="41"/>
      <c r="R79" s="41"/>
      <c r="S79" s="41"/>
      <c r="T79" s="132"/>
      <c r="U79" s="40"/>
      <c r="V79" s="40"/>
      <c r="W79" s="42"/>
      <c r="X79" s="40"/>
      <c r="Y79" s="42"/>
      <c r="Z79" s="42"/>
      <c r="AC79" s="5"/>
      <c r="AD79" s="5"/>
      <c r="AE79" s="5"/>
    </row>
    <row r="80" spans="1:31" ht="14.25" customHeight="1">
      <c r="A80" t="s">
        <v>47</v>
      </c>
      <c r="B80" t="s">
        <v>48</v>
      </c>
      <c r="D80" s="143" t="s">
        <v>131</v>
      </c>
      <c r="E80" s="37" t="s">
        <v>132</v>
      </c>
      <c r="F80" s="38">
        <f t="shared" ref="F80:F93" si="44">SUM(N80:T80)</f>
        <v>62968.513999999996</v>
      </c>
      <c r="G80" s="39" t="s">
        <v>51</v>
      </c>
      <c r="H80" s="39">
        <v>10</v>
      </c>
      <c r="I80" s="39">
        <v>190</v>
      </c>
      <c r="J80" s="40"/>
      <c r="K80" s="40">
        <v>53929.599999999999</v>
      </c>
      <c r="L80" s="40">
        <v>57416.19</v>
      </c>
      <c r="M80" s="40"/>
      <c r="N80" s="148">
        <v>60493.513999999996</v>
      </c>
      <c r="O80" s="41"/>
      <c r="P80" s="41"/>
      <c r="Q80" s="41"/>
      <c r="R80" s="41"/>
      <c r="S80" s="41"/>
      <c r="T80" s="132">
        <v>2475</v>
      </c>
      <c r="U80" s="40">
        <v>4770.78</v>
      </c>
      <c r="V80" s="40">
        <f t="shared" ref="V80:V93" si="45">+U80*1.03</f>
        <v>4913.9034000000001</v>
      </c>
      <c r="W80" s="42">
        <f t="shared" ref="W80:W93" si="46">+(F80)*0.2381</f>
        <v>14992.803183399999</v>
      </c>
      <c r="X80" s="40">
        <f t="shared" ref="X80:X93" si="47">F80*0.0765</f>
        <v>4817.0913209999999</v>
      </c>
      <c r="Y80" s="42">
        <f t="shared" ref="Y80:Y93" si="48">F80*0.001</f>
        <v>62.968513999999999</v>
      </c>
      <c r="Z80" s="42">
        <f t="shared" ref="Z80:Z93" si="49">F80+SUM(V80:Y80)</f>
        <v>87755.280418399998</v>
      </c>
      <c r="AC80" s="5"/>
      <c r="AD80" s="5"/>
      <c r="AE80" s="5"/>
    </row>
    <row r="81" spans="1:31" ht="14.25" customHeight="1">
      <c r="A81" t="s">
        <v>47</v>
      </c>
      <c r="B81" t="s">
        <v>48</v>
      </c>
      <c r="D81" s="143" t="s">
        <v>131</v>
      </c>
      <c r="E81" s="37" t="s">
        <v>133</v>
      </c>
      <c r="F81" s="38">
        <f t="shared" si="44"/>
        <v>53140.193999999996</v>
      </c>
      <c r="G81" s="39" t="s">
        <v>65</v>
      </c>
      <c r="H81" s="39">
        <v>9</v>
      </c>
      <c r="I81" s="39">
        <v>190</v>
      </c>
      <c r="J81" s="40"/>
      <c r="K81" s="40">
        <v>46998.400000000001</v>
      </c>
      <c r="L81" s="40">
        <v>50203.57</v>
      </c>
      <c r="M81" s="40"/>
      <c r="N81" s="148">
        <v>53140.193999999996</v>
      </c>
      <c r="O81" s="41"/>
      <c r="P81" s="40"/>
      <c r="Q81" s="40"/>
      <c r="R81" s="40"/>
      <c r="S81" s="40"/>
      <c r="T81" s="40"/>
      <c r="U81" s="40">
        <v>4770.78</v>
      </c>
      <c r="V81" s="40">
        <f t="shared" si="45"/>
        <v>4913.9034000000001</v>
      </c>
      <c r="W81" s="42">
        <f t="shared" si="46"/>
        <v>12652.680191399999</v>
      </c>
      <c r="X81" s="40">
        <f t="shared" si="47"/>
        <v>4065.2248409999997</v>
      </c>
      <c r="Y81" s="42">
        <f t="shared" si="48"/>
        <v>53.140193999999994</v>
      </c>
      <c r="Z81" s="42">
        <f t="shared" si="49"/>
        <v>74825.142626399989</v>
      </c>
      <c r="AC81" s="5"/>
      <c r="AD81" s="5"/>
      <c r="AE81" s="5"/>
    </row>
    <row r="82" spans="1:31" ht="14.25" customHeight="1">
      <c r="A82" t="s">
        <v>47</v>
      </c>
      <c r="B82" t="s">
        <v>48</v>
      </c>
      <c r="D82" s="143" t="s">
        <v>131</v>
      </c>
      <c r="E82" s="37" t="s">
        <v>134</v>
      </c>
      <c r="F82" s="38">
        <f t="shared" si="44"/>
        <v>48441.668999999994</v>
      </c>
      <c r="G82" s="39" t="s">
        <v>65</v>
      </c>
      <c r="H82" s="39">
        <v>4</v>
      </c>
      <c r="I82" s="39">
        <v>190</v>
      </c>
      <c r="J82" s="40"/>
      <c r="K82" s="40">
        <v>42408</v>
      </c>
      <c r="L82" s="40">
        <v>45489.64</v>
      </c>
      <c r="M82" s="40"/>
      <c r="N82" s="148">
        <v>48441.668999999994</v>
      </c>
      <c r="O82" s="41"/>
      <c r="P82" s="40"/>
      <c r="Q82" s="40"/>
      <c r="R82" s="40"/>
      <c r="S82" s="40"/>
      <c r="T82" s="40"/>
      <c r="U82" s="40">
        <v>11572.12</v>
      </c>
      <c r="V82" s="40">
        <f t="shared" si="45"/>
        <v>11919.283600000001</v>
      </c>
      <c r="W82" s="42">
        <f t="shared" si="46"/>
        <v>11533.961388899999</v>
      </c>
      <c r="X82" s="40">
        <f t="shared" si="47"/>
        <v>3705.7876784999994</v>
      </c>
      <c r="Y82" s="42">
        <f t="shared" si="48"/>
        <v>48.441668999999997</v>
      </c>
      <c r="Z82" s="42">
        <f t="shared" si="49"/>
        <v>75649.143336399997</v>
      </c>
      <c r="AC82" s="5"/>
      <c r="AD82" s="5"/>
      <c r="AE82" s="5"/>
    </row>
    <row r="83" spans="1:31" ht="14.25" customHeight="1">
      <c r="A83" t="s">
        <v>47</v>
      </c>
      <c r="B83" t="s">
        <v>48</v>
      </c>
      <c r="D83" s="36" t="s">
        <v>131</v>
      </c>
      <c r="E83" s="37" t="s">
        <v>135</v>
      </c>
      <c r="F83" s="38">
        <f t="shared" si="44"/>
        <v>56762.273999999998</v>
      </c>
      <c r="G83" s="39" t="s">
        <v>51</v>
      </c>
      <c r="H83" s="39">
        <v>6</v>
      </c>
      <c r="I83" s="39">
        <v>190</v>
      </c>
      <c r="J83" s="40"/>
      <c r="K83" s="40">
        <v>49795.199999999997</v>
      </c>
      <c r="L83" s="40">
        <v>53201.38</v>
      </c>
      <c r="M83" s="40"/>
      <c r="N83" s="148">
        <v>56262.273999999998</v>
      </c>
      <c r="O83" s="41"/>
      <c r="P83" s="41"/>
      <c r="Q83" s="41"/>
      <c r="R83" s="41"/>
      <c r="S83" s="132">
        <v>500</v>
      </c>
      <c r="T83" s="41"/>
      <c r="U83" s="40">
        <v>4770.78</v>
      </c>
      <c r="V83" s="40">
        <f t="shared" si="45"/>
        <v>4913.9034000000001</v>
      </c>
      <c r="W83" s="42">
        <f t="shared" si="46"/>
        <v>13515.0974394</v>
      </c>
      <c r="X83" s="40">
        <f t="shared" si="47"/>
        <v>4342.3139609999998</v>
      </c>
      <c r="Y83" s="42">
        <f t="shared" si="48"/>
        <v>56.762273999999998</v>
      </c>
      <c r="Z83" s="42">
        <f t="shared" si="49"/>
        <v>79590.351074399994</v>
      </c>
      <c r="AC83" s="5"/>
      <c r="AD83" s="5"/>
      <c r="AE83" s="5"/>
    </row>
    <row r="84" spans="1:31" ht="14.25" customHeight="1">
      <c r="A84" t="s">
        <v>47</v>
      </c>
      <c r="B84" t="s">
        <v>48</v>
      </c>
      <c r="D84" s="36" t="s">
        <v>131</v>
      </c>
      <c r="E84" s="37" t="s">
        <v>136</v>
      </c>
      <c r="F84" s="38">
        <f t="shared" si="44"/>
        <v>91806.562999999995</v>
      </c>
      <c r="G84" s="39" t="s">
        <v>56</v>
      </c>
      <c r="H84" s="39">
        <v>31</v>
      </c>
      <c r="I84" s="39">
        <v>190</v>
      </c>
      <c r="J84" s="40"/>
      <c r="K84" s="40">
        <v>76775.199999999997</v>
      </c>
      <c r="L84" s="40">
        <v>81078.070000000007</v>
      </c>
      <c r="M84" s="40"/>
      <c r="N84" s="148">
        <v>84306.562999999995</v>
      </c>
      <c r="O84" s="40">
        <v>7500</v>
      </c>
      <c r="P84" s="41"/>
      <c r="Q84" s="41"/>
      <c r="R84" s="41"/>
      <c r="S84" s="132"/>
      <c r="T84" s="41"/>
      <c r="U84" s="40">
        <v>11572.12</v>
      </c>
      <c r="V84" s="40">
        <f t="shared" si="45"/>
        <v>11919.283600000001</v>
      </c>
      <c r="W84" s="42">
        <f t="shared" si="46"/>
        <v>21859.1426503</v>
      </c>
      <c r="X84" s="40">
        <f t="shared" si="47"/>
        <v>7023.2020694999992</v>
      </c>
      <c r="Y84" s="42">
        <f t="shared" si="48"/>
        <v>91.806562999999997</v>
      </c>
      <c r="Z84" s="42">
        <f t="shared" si="49"/>
        <v>132699.9978828</v>
      </c>
      <c r="AC84" s="5"/>
      <c r="AD84" s="5"/>
      <c r="AE84" s="5"/>
    </row>
    <row r="85" spans="1:31" ht="14.25" customHeight="1">
      <c r="A85" t="s">
        <v>47</v>
      </c>
      <c r="B85" t="s">
        <v>48</v>
      </c>
      <c r="D85" s="36" t="s">
        <v>131</v>
      </c>
      <c r="E85" s="37" t="s">
        <v>137</v>
      </c>
      <c r="F85" s="38">
        <f t="shared" si="44"/>
        <v>72934.59199999999</v>
      </c>
      <c r="G85" s="39" t="s">
        <v>51</v>
      </c>
      <c r="H85" s="39">
        <v>21</v>
      </c>
      <c r="I85" s="39">
        <v>190</v>
      </c>
      <c r="J85" s="40"/>
      <c r="K85" s="40">
        <v>65846.399999999994</v>
      </c>
      <c r="L85" s="40">
        <v>69763.81</v>
      </c>
      <c r="M85" s="40"/>
      <c r="N85" s="148">
        <v>72934.59199999999</v>
      </c>
      <c r="O85" s="41"/>
      <c r="P85" s="41"/>
      <c r="Q85" s="41"/>
      <c r="R85" s="41"/>
      <c r="S85" s="132"/>
      <c r="T85" s="41"/>
      <c r="U85" s="40">
        <v>7218.848</v>
      </c>
      <c r="V85" s="40">
        <f t="shared" si="45"/>
        <v>7435.4134400000003</v>
      </c>
      <c r="W85" s="42">
        <f t="shared" si="46"/>
        <v>17365.726355199997</v>
      </c>
      <c r="X85" s="40">
        <f t="shared" si="47"/>
        <v>5579.4962879999994</v>
      </c>
      <c r="Y85" s="42">
        <f t="shared" si="48"/>
        <v>72.934591999999995</v>
      </c>
      <c r="Z85" s="42">
        <f t="shared" si="49"/>
        <v>103388.16267519999</v>
      </c>
      <c r="AC85" s="5"/>
      <c r="AD85" s="5"/>
      <c r="AE85" s="5"/>
    </row>
    <row r="86" spans="1:31" ht="14.25" customHeight="1">
      <c r="A86" t="s">
        <v>47</v>
      </c>
      <c r="B86" t="s">
        <v>48</v>
      </c>
      <c r="D86" s="36" t="s">
        <v>131</v>
      </c>
      <c r="E86" s="37" t="s">
        <v>138</v>
      </c>
      <c r="F86" s="38">
        <f t="shared" si="44"/>
        <v>57808.786999999997</v>
      </c>
      <c r="G86" s="39" t="s">
        <v>51</v>
      </c>
      <c r="H86" s="39">
        <v>7</v>
      </c>
      <c r="I86" s="39">
        <v>190</v>
      </c>
      <c r="J86" s="40"/>
      <c r="K86" s="40">
        <v>50828.800000000003</v>
      </c>
      <c r="L86" s="40">
        <v>54262.27</v>
      </c>
      <c r="M86" s="40"/>
      <c r="N86" s="148">
        <v>57308.786999999997</v>
      </c>
      <c r="O86" s="41"/>
      <c r="P86" s="175"/>
      <c r="Q86" s="41"/>
      <c r="R86" s="41"/>
      <c r="S86" s="132"/>
      <c r="T86" s="41">
        <v>500</v>
      </c>
      <c r="U86" s="40">
        <v>4770.78</v>
      </c>
      <c r="V86" s="40">
        <f t="shared" si="45"/>
        <v>4913.9034000000001</v>
      </c>
      <c r="W86" s="42">
        <f t="shared" si="46"/>
        <v>13764.272184699999</v>
      </c>
      <c r="X86" s="40">
        <f t="shared" si="47"/>
        <v>4422.3722054999998</v>
      </c>
      <c r="Y86" s="42">
        <f t="shared" si="48"/>
        <v>57.808786999999995</v>
      </c>
      <c r="Z86" s="42">
        <f t="shared" si="49"/>
        <v>80967.143577199997</v>
      </c>
      <c r="AC86" s="5"/>
      <c r="AD86" s="5"/>
      <c r="AE86" s="5"/>
    </row>
    <row r="87" spans="1:31" ht="14.25" customHeight="1">
      <c r="A87" t="s">
        <v>47</v>
      </c>
      <c r="B87" t="s">
        <v>48</v>
      </c>
      <c r="D87" s="36" t="s">
        <v>131</v>
      </c>
      <c r="E87" s="37" t="s">
        <v>139</v>
      </c>
      <c r="F87" s="38">
        <f t="shared" si="44"/>
        <v>59416.190999999992</v>
      </c>
      <c r="G87" s="39" t="s">
        <v>51</v>
      </c>
      <c r="H87" s="39">
        <v>9</v>
      </c>
      <c r="I87" s="39">
        <v>190</v>
      </c>
      <c r="J87" s="40"/>
      <c r="K87" s="40">
        <v>52880.800000000003</v>
      </c>
      <c r="L87" s="40">
        <v>56386.11</v>
      </c>
      <c r="M87" s="40"/>
      <c r="N87" s="148">
        <v>59416.190999999992</v>
      </c>
      <c r="O87" s="41"/>
      <c r="P87" s="41"/>
      <c r="Q87" s="41"/>
      <c r="R87" s="41"/>
      <c r="S87" s="132"/>
      <c r="T87" s="41"/>
      <c r="U87" s="40">
        <v>4770.78</v>
      </c>
      <c r="V87" s="40">
        <f t="shared" si="45"/>
        <v>4913.9034000000001</v>
      </c>
      <c r="W87" s="42">
        <f t="shared" si="46"/>
        <v>14146.995077099999</v>
      </c>
      <c r="X87" s="40">
        <f t="shared" si="47"/>
        <v>4545.3386114999994</v>
      </c>
      <c r="Y87" s="42">
        <f t="shared" si="48"/>
        <v>59.416190999999991</v>
      </c>
      <c r="Z87" s="42">
        <f t="shared" si="49"/>
        <v>83081.844279599987</v>
      </c>
      <c r="AC87" s="5"/>
      <c r="AD87" s="5"/>
      <c r="AE87" s="5"/>
    </row>
    <row r="88" spans="1:31" ht="14.25" customHeight="1">
      <c r="A88" t="s">
        <v>47</v>
      </c>
      <c r="B88" t="s">
        <v>48</v>
      </c>
      <c r="D88" s="36" t="s">
        <v>131</v>
      </c>
      <c r="E88" s="37" t="s">
        <v>140</v>
      </c>
      <c r="F88" s="38">
        <f t="shared" si="44"/>
        <v>71763.811999999991</v>
      </c>
      <c r="G88" s="39" t="s">
        <v>51</v>
      </c>
      <c r="H88" s="39">
        <v>20</v>
      </c>
      <c r="I88" s="39">
        <v>190</v>
      </c>
      <c r="J88" s="40"/>
      <c r="K88" s="40">
        <v>64752</v>
      </c>
      <c r="L88" s="40">
        <v>68623.839999999997</v>
      </c>
      <c r="M88" s="40"/>
      <c r="N88" s="148">
        <v>71763.811999999991</v>
      </c>
      <c r="O88" s="41"/>
      <c r="P88" s="41"/>
      <c r="Q88" s="41"/>
      <c r="R88" s="41"/>
      <c r="S88" s="132"/>
      <c r="T88" s="41"/>
      <c r="U88" s="40">
        <v>7218.848</v>
      </c>
      <c r="V88" s="40">
        <f t="shared" si="45"/>
        <v>7435.4134400000003</v>
      </c>
      <c r="W88" s="42">
        <f t="shared" si="46"/>
        <v>17086.963637199999</v>
      </c>
      <c r="X88" s="40">
        <f t="shared" si="47"/>
        <v>5489.9316179999996</v>
      </c>
      <c r="Y88" s="42">
        <f t="shared" si="48"/>
        <v>71.763811999999987</v>
      </c>
      <c r="Z88" s="42">
        <f t="shared" si="49"/>
        <v>101847.88450719998</v>
      </c>
      <c r="AC88" s="5"/>
      <c r="AD88" s="5"/>
      <c r="AE88" s="5"/>
    </row>
    <row r="89" spans="1:31" ht="14.25" customHeight="1">
      <c r="A89" t="s">
        <v>47</v>
      </c>
      <c r="B89" t="s">
        <v>48</v>
      </c>
      <c r="D89" s="36" t="s">
        <v>131</v>
      </c>
      <c r="E89" s="37" t="s">
        <v>141</v>
      </c>
      <c r="F89" s="38">
        <f t="shared" si="44"/>
        <v>74480.226999999999</v>
      </c>
      <c r="G89" s="39" t="s">
        <v>56</v>
      </c>
      <c r="H89" s="39">
        <v>18</v>
      </c>
      <c r="I89" s="39">
        <v>190</v>
      </c>
      <c r="J89" s="40"/>
      <c r="K89" s="40">
        <v>67199.199999999997</v>
      </c>
      <c r="L89" s="40">
        <v>71231.399999999994</v>
      </c>
      <c r="M89" s="40"/>
      <c r="N89" s="148">
        <v>74480.226999999999</v>
      </c>
      <c r="O89" s="41"/>
      <c r="P89" s="41"/>
      <c r="Q89" s="41"/>
      <c r="R89" s="41"/>
      <c r="S89" s="132"/>
      <c r="T89" s="41"/>
      <c r="U89" s="40">
        <v>4770.78</v>
      </c>
      <c r="V89" s="40">
        <f t="shared" si="45"/>
        <v>4913.9034000000001</v>
      </c>
      <c r="W89" s="42">
        <f t="shared" si="46"/>
        <v>17733.742048700002</v>
      </c>
      <c r="X89" s="40">
        <f t="shared" si="47"/>
        <v>5697.7373655000001</v>
      </c>
      <c r="Y89" s="42">
        <f t="shared" si="48"/>
        <v>74.480226999999999</v>
      </c>
      <c r="Z89" s="42">
        <f t="shared" si="49"/>
        <v>102900.0900412</v>
      </c>
      <c r="AC89" s="5"/>
      <c r="AD89" s="5"/>
      <c r="AE89" s="5"/>
    </row>
    <row r="90" spans="1:31" ht="14.25" customHeight="1">
      <c r="A90" t="s">
        <v>47</v>
      </c>
      <c r="B90" t="s">
        <v>48</v>
      </c>
      <c r="D90" s="36" t="s">
        <v>131</v>
      </c>
      <c r="E90" s="37" t="s">
        <v>142</v>
      </c>
      <c r="F90" s="38">
        <f t="shared" si="44"/>
        <v>60493.513999999996</v>
      </c>
      <c r="G90" s="39" t="s">
        <v>51</v>
      </c>
      <c r="H90" s="39">
        <v>10</v>
      </c>
      <c r="I90" s="39">
        <v>190</v>
      </c>
      <c r="J90" s="40"/>
      <c r="K90" s="40">
        <v>53929.599999999999</v>
      </c>
      <c r="L90" s="40">
        <v>57416.19</v>
      </c>
      <c r="M90" s="40"/>
      <c r="N90" s="148">
        <v>60493.513999999996</v>
      </c>
      <c r="O90" s="41"/>
      <c r="P90" s="41"/>
      <c r="Q90" s="41"/>
      <c r="R90" s="41"/>
      <c r="S90" s="132"/>
      <c r="T90" s="41"/>
      <c r="U90" s="40">
        <v>7218.848</v>
      </c>
      <c r="V90" s="40">
        <f t="shared" si="45"/>
        <v>7435.4134400000003</v>
      </c>
      <c r="W90" s="42">
        <f t="shared" si="46"/>
        <v>14403.505683399999</v>
      </c>
      <c r="X90" s="40">
        <f t="shared" si="47"/>
        <v>4627.7538209999993</v>
      </c>
      <c r="Y90" s="42">
        <f t="shared" si="48"/>
        <v>60.493513999999998</v>
      </c>
      <c r="Z90" s="42">
        <f t="shared" si="49"/>
        <v>87020.680458399991</v>
      </c>
      <c r="AC90" s="5"/>
      <c r="AD90" s="5"/>
      <c r="AE90" s="5"/>
    </row>
    <row r="91" spans="1:31" ht="14.25" customHeight="1">
      <c r="A91" t="s">
        <v>47</v>
      </c>
      <c r="B91" t="s">
        <v>48</v>
      </c>
      <c r="D91" s="36" t="s">
        <v>131</v>
      </c>
      <c r="E91" s="37" t="s">
        <v>143</v>
      </c>
      <c r="F91" s="38">
        <f t="shared" si="44"/>
        <v>57093.978999999999</v>
      </c>
      <c r="G91" s="39" t="s">
        <v>51</v>
      </c>
      <c r="H91" s="39">
        <v>3</v>
      </c>
      <c r="I91" s="39">
        <v>190</v>
      </c>
      <c r="J91" s="40"/>
      <c r="K91" s="40">
        <v>43912.800000000003</v>
      </c>
      <c r="L91" s="40">
        <v>50032.06</v>
      </c>
      <c r="N91" s="148">
        <v>53093.978999999999</v>
      </c>
      <c r="O91" s="41"/>
      <c r="P91" s="41">
        <v>4000</v>
      </c>
      <c r="Q91" s="41"/>
      <c r="R91" s="41"/>
      <c r="S91" s="132"/>
      <c r="T91" s="41"/>
      <c r="U91" s="40">
        <v>4770.78</v>
      </c>
      <c r="V91" s="40">
        <f t="shared" si="45"/>
        <v>4913.9034000000001</v>
      </c>
      <c r="W91" s="42">
        <f t="shared" si="46"/>
        <v>13594.076399900001</v>
      </c>
      <c r="X91" s="40">
        <f t="shared" si="47"/>
        <v>4367.6893934999998</v>
      </c>
      <c r="Y91" s="42">
        <f t="shared" si="48"/>
        <v>57.093978999999997</v>
      </c>
      <c r="Z91" s="42">
        <f t="shared" si="49"/>
        <v>80026.742172400001</v>
      </c>
      <c r="AC91" s="5"/>
      <c r="AD91" s="5"/>
      <c r="AE91" s="5"/>
    </row>
    <row r="92" spans="1:31" ht="14.25" customHeight="1">
      <c r="A92" t="s">
        <v>47</v>
      </c>
      <c r="B92" t="s">
        <v>48</v>
      </c>
      <c r="D92" s="143" t="s">
        <v>131</v>
      </c>
      <c r="E92" s="37" t="s">
        <v>144</v>
      </c>
      <c r="F92" s="38">
        <f t="shared" si="44"/>
        <v>61538.999999999993</v>
      </c>
      <c r="G92" s="39" t="s">
        <v>51</v>
      </c>
      <c r="H92" s="39">
        <v>11</v>
      </c>
      <c r="I92" s="39">
        <v>190</v>
      </c>
      <c r="J92" s="40"/>
      <c r="K92" s="40">
        <v>54932.800000000003</v>
      </c>
      <c r="L92" s="40">
        <v>58493.51</v>
      </c>
      <c r="M92" s="40"/>
      <c r="N92" s="148">
        <v>61538.999999999993</v>
      </c>
      <c r="O92" s="176"/>
      <c r="P92" s="176"/>
      <c r="Q92" s="176"/>
      <c r="R92" s="176"/>
      <c r="S92" s="176"/>
      <c r="T92" s="176"/>
      <c r="U92" s="40">
        <v>4770.78</v>
      </c>
      <c r="V92" s="40">
        <f t="shared" si="45"/>
        <v>4913.9034000000001</v>
      </c>
      <c r="W92" s="42">
        <f t="shared" si="46"/>
        <v>14652.435899999999</v>
      </c>
      <c r="X92" s="40">
        <f t="shared" si="47"/>
        <v>4707.7334999999994</v>
      </c>
      <c r="Y92" s="42">
        <f t="shared" si="48"/>
        <v>61.538999999999994</v>
      </c>
      <c r="Z92" s="42">
        <f t="shared" si="49"/>
        <v>85874.611799999984</v>
      </c>
      <c r="AA92" s="1"/>
      <c r="AC92" s="5"/>
      <c r="AD92" s="5"/>
      <c r="AE92" s="5"/>
    </row>
    <row r="93" spans="1:31" ht="14.25" customHeight="1">
      <c r="A93" t="s">
        <v>47</v>
      </c>
      <c r="B93" t="s">
        <v>48</v>
      </c>
      <c r="D93" s="36" t="s">
        <v>131</v>
      </c>
      <c r="E93" s="205" t="s">
        <v>145</v>
      </c>
      <c r="F93" s="38">
        <f t="shared" si="44"/>
        <v>86164.075999999986</v>
      </c>
      <c r="G93" s="39" t="s">
        <v>56</v>
      </c>
      <c r="H93" s="39">
        <v>21</v>
      </c>
      <c r="I93" s="39">
        <v>190</v>
      </c>
      <c r="J93" s="40"/>
      <c r="K93" s="40">
        <v>70786.399999999994</v>
      </c>
      <c r="L93" s="40">
        <v>74915.240000000005</v>
      </c>
      <c r="M93" s="40"/>
      <c r="N93" s="148">
        <v>78164.075999999986</v>
      </c>
      <c r="O93" s="40">
        <v>7500</v>
      </c>
      <c r="P93" s="41"/>
      <c r="Q93" s="41"/>
      <c r="R93" s="41"/>
      <c r="S93" s="132">
        <v>500</v>
      </c>
      <c r="T93" s="41"/>
      <c r="U93" s="40">
        <v>9259.768</v>
      </c>
      <c r="V93" s="40">
        <f t="shared" si="45"/>
        <v>9537.5610400000005</v>
      </c>
      <c r="W93" s="42">
        <f t="shared" si="46"/>
        <v>20515.666495599999</v>
      </c>
      <c r="X93" s="40">
        <f t="shared" si="47"/>
        <v>6591.5518139999986</v>
      </c>
      <c r="Y93" s="42">
        <f t="shared" si="48"/>
        <v>86.164075999999994</v>
      </c>
      <c r="Z93" s="42">
        <f t="shared" si="49"/>
        <v>122895.01942559998</v>
      </c>
      <c r="AC93" s="5"/>
      <c r="AD93" s="5"/>
      <c r="AE93" s="5"/>
    </row>
    <row r="94" spans="1:31" ht="14.25" customHeight="1">
      <c r="D94" s="36"/>
      <c r="E94" s="137" t="s">
        <v>146</v>
      </c>
      <c r="F94" s="138">
        <f>SUM(F80:F93)</f>
        <v>914813.39199999999</v>
      </c>
      <c r="G94" s="138">
        <f t="shared" ref="G94:L94" si="50">SUM(G80:G93)</f>
        <v>0</v>
      </c>
      <c r="H94" s="138">
        <f t="shared" si="50"/>
        <v>180</v>
      </c>
      <c r="I94" s="138">
        <f t="shared" si="50"/>
        <v>2660</v>
      </c>
      <c r="J94" s="138">
        <f t="shared" si="50"/>
        <v>0</v>
      </c>
      <c r="K94" s="138">
        <f t="shared" si="50"/>
        <v>794975.20000000007</v>
      </c>
      <c r="L94" s="138">
        <f t="shared" si="50"/>
        <v>848513.28</v>
      </c>
      <c r="M94" s="138"/>
      <c r="N94" s="140">
        <f>SUM(N80:N93)</f>
        <v>891838.39199999999</v>
      </c>
      <c r="O94" s="138">
        <f t="shared" ref="O94:Z94" si="51">SUM(O80:O93)</f>
        <v>15000</v>
      </c>
      <c r="P94" s="138">
        <f t="shared" si="51"/>
        <v>4000</v>
      </c>
      <c r="Q94" s="138">
        <f t="shared" si="51"/>
        <v>0</v>
      </c>
      <c r="R94" s="138">
        <f t="shared" si="51"/>
        <v>0</v>
      </c>
      <c r="S94" s="138">
        <f t="shared" si="51"/>
        <v>1000</v>
      </c>
      <c r="T94" s="138">
        <f t="shared" si="51"/>
        <v>2975</v>
      </c>
      <c r="U94" s="138">
        <f t="shared" si="51"/>
        <v>92226.791999999987</v>
      </c>
      <c r="V94" s="138">
        <f t="shared" si="51"/>
        <v>94993.595759999997</v>
      </c>
      <c r="W94" s="138">
        <f t="shared" si="51"/>
        <v>217817.06863519998</v>
      </c>
      <c r="X94" s="138">
        <f t="shared" si="51"/>
        <v>69983.224487999993</v>
      </c>
      <c r="Y94" s="138">
        <f t="shared" si="51"/>
        <v>914.81339200000002</v>
      </c>
      <c r="Z94" s="138">
        <f t="shared" si="51"/>
        <v>1298522.0942752</v>
      </c>
      <c r="AC94" s="5"/>
      <c r="AD94" s="5"/>
      <c r="AE94" s="5"/>
    </row>
    <row r="95" spans="1:31" ht="14.25" customHeight="1">
      <c r="D95" s="36"/>
      <c r="E95" s="137" t="s">
        <v>70</v>
      </c>
      <c r="F95" s="138">
        <f t="shared" ref="F95:Z95" si="52">F94+F77+F63+F59+F48+F31+F19+F25+F4</f>
        <v>5088643.3197499998</v>
      </c>
      <c r="G95" s="138">
        <f t="shared" si="52"/>
        <v>0</v>
      </c>
      <c r="H95" s="138">
        <f t="shared" si="52"/>
        <v>1019</v>
      </c>
      <c r="I95" s="138">
        <f t="shared" si="52"/>
        <v>14339</v>
      </c>
      <c r="J95" s="138">
        <f t="shared" si="52"/>
        <v>0</v>
      </c>
      <c r="K95" s="138">
        <f t="shared" si="52"/>
        <v>4358726.21</v>
      </c>
      <c r="L95" s="138">
        <f t="shared" si="52"/>
        <v>4650577.2479999997</v>
      </c>
      <c r="M95" s="138">
        <f t="shared" si="52"/>
        <v>0</v>
      </c>
      <c r="N95" s="138">
        <f t="shared" si="52"/>
        <v>4870020.55975</v>
      </c>
      <c r="O95" s="138">
        <f t="shared" si="52"/>
        <v>75000</v>
      </c>
      <c r="P95" s="138">
        <f t="shared" si="52"/>
        <v>52000</v>
      </c>
      <c r="Q95" s="138">
        <f t="shared" si="52"/>
        <v>0</v>
      </c>
      <c r="R95" s="138">
        <f t="shared" si="52"/>
        <v>0</v>
      </c>
      <c r="S95" s="138">
        <f t="shared" si="52"/>
        <v>5000</v>
      </c>
      <c r="T95" s="138">
        <f t="shared" si="52"/>
        <v>209918.28000000003</v>
      </c>
      <c r="U95" s="138">
        <f t="shared" si="52"/>
        <v>606237.0639999999</v>
      </c>
      <c r="V95" s="138">
        <f t="shared" si="52"/>
        <v>586273.93175999995</v>
      </c>
      <c r="W95" s="138">
        <f t="shared" si="52"/>
        <v>1367493.236401075</v>
      </c>
      <c r="X95" s="138">
        <f t="shared" si="52"/>
        <v>439366.78951987502</v>
      </c>
      <c r="Y95" s="138">
        <f t="shared" si="52"/>
        <v>5743.3567257499999</v>
      </c>
      <c r="Z95" s="138">
        <f t="shared" si="52"/>
        <v>8142234.0401566988</v>
      </c>
      <c r="AA95" s="138"/>
      <c r="AC95" s="5"/>
      <c r="AD95" s="5"/>
      <c r="AE95" s="5"/>
    </row>
    <row r="96" spans="1:31" ht="14.25" customHeight="1">
      <c r="A96" s="1"/>
      <c r="B96" s="1"/>
      <c r="C96" s="1"/>
      <c r="D96" s="36"/>
      <c r="E96" s="156"/>
      <c r="F96" s="38"/>
      <c r="G96" s="39"/>
      <c r="H96" s="39"/>
      <c r="I96" s="39"/>
      <c r="J96" s="40"/>
      <c r="K96" s="40"/>
      <c r="L96" s="40"/>
      <c r="M96" s="40"/>
      <c r="N96" s="40"/>
      <c r="O96" s="40"/>
      <c r="P96" s="41"/>
      <c r="Q96" s="41"/>
      <c r="R96" s="41"/>
      <c r="S96" s="41"/>
      <c r="T96" s="41"/>
      <c r="U96" s="40"/>
      <c r="V96" s="40"/>
      <c r="W96" s="42"/>
      <c r="X96" s="40"/>
      <c r="Y96" s="42"/>
      <c r="Z96" s="42"/>
      <c r="AC96" s="5"/>
      <c r="AD96" s="5"/>
      <c r="AE96" s="5"/>
    </row>
    <row r="97" spans="1:31" ht="14.25" customHeight="1">
      <c r="A97" s="1" t="s">
        <v>47</v>
      </c>
      <c r="B97" t="s">
        <v>147</v>
      </c>
      <c r="D97" s="36" t="s">
        <v>148</v>
      </c>
      <c r="E97" s="37" t="s">
        <v>149</v>
      </c>
      <c r="F97" s="38">
        <f>SUM(N97:T97)</f>
        <v>33607.199999999997</v>
      </c>
      <c r="G97" s="39" t="s">
        <v>150</v>
      </c>
      <c r="H97" s="39">
        <v>17</v>
      </c>
      <c r="I97" s="39">
        <v>190</v>
      </c>
      <c r="J97" s="40"/>
      <c r="K97" s="40">
        <v>29533.599999999999</v>
      </c>
      <c r="L97" s="177">
        <v>32254.400000000001</v>
      </c>
      <c r="M97" s="177">
        <v>21.22</v>
      </c>
      <c r="N97" s="178">
        <v>33607.199999999997</v>
      </c>
      <c r="O97" s="179"/>
      <c r="P97" s="41"/>
      <c r="Q97" s="41"/>
      <c r="R97" s="41"/>
      <c r="S97" s="41"/>
      <c r="T97" s="41"/>
      <c r="U97" s="40">
        <v>4770.78</v>
      </c>
      <c r="V97" s="40">
        <f t="shared" ref="V97:V99" si="53">+U97*1.03</f>
        <v>4913.9034000000001</v>
      </c>
      <c r="W97" s="42">
        <f>+(F97)*0.2381</f>
        <v>8001.8743199999999</v>
      </c>
      <c r="X97" s="40">
        <f>F97*0.0765</f>
        <v>2570.9507999999996</v>
      </c>
      <c r="Y97" s="42">
        <f>F97*0.001</f>
        <v>33.607199999999999</v>
      </c>
      <c r="Z97" s="42">
        <f>F97+SUM(V97:Y97)</f>
        <v>49127.53572</v>
      </c>
      <c r="AC97" s="5"/>
      <c r="AD97" s="5"/>
      <c r="AE97" s="5"/>
    </row>
    <row r="98" spans="1:31" ht="14.25" customHeight="1">
      <c r="A98" t="s">
        <v>47</v>
      </c>
      <c r="B98" t="s">
        <v>147</v>
      </c>
      <c r="D98" s="36" t="s">
        <v>151</v>
      </c>
      <c r="E98" s="37" t="s">
        <v>152</v>
      </c>
      <c r="F98" s="38">
        <f>SUM(N98:T98)</f>
        <v>34184.800000000003</v>
      </c>
      <c r="G98" s="39" t="s">
        <v>150</v>
      </c>
      <c r="H98" s="39">
        <v>18</v>
      </c>
      <c r="I98" s="39">
        <v>190</v>
      </c>
      <c r="J98" s="40"/>
      <c r="K98" s="40">
        <v>30597.599999999999</v>
      </c>
      <c r="L98" s="177">
        <v>32847.199999999997</v>
      </c>
      <c r="M98" s="177">
        <v>21.61</v>
      </c>
      <c r="N98" s="178">
        <v>34184.800000000003</v>
      </c>
      <c r="O98" s="41"/>
      <c r="P98" s="41"/>
      <c r="Q98" s="41"/>
      <c r="R98" s="41"/>
      <c r="S98" s="41"/>
      <c r="T98" s="41"/>
      <c r="U98" s="40">
        <v>4770.78</v>
      </c>
      <c r="V98" s="40">
        <f t="shared" si="53"/>
        <v>4913.9034000000001</v>
      </c>
      <c r="W98" s="42">
        <f>+(F98)*0.2381</f>
        <v>8139.4008800000011</v>
      </c>
      <c r="X98" s="40">
        <f>F98*0.0765</f>
        <v>2615.1372000000001</v>
      </c>
      <c r="Y98" s="42">
        <f>F98*0.001</f>
        <v>34.184800000000003</v>
      </c>
      <c r="Z98" s="42">
        <f>F98+SUM(V98:Y98)</f>
        <v>49887.426280000007</v>
      </c>
      <c r="AC98" s="5"/>
      <c r="AD98" s="5"/>
      <c r="AE98" s="5"/>
    </row>
    <row r="99" spans="1:31" ht="14.25" customHeight="1">
      <c r="A99" t="s">
        <v>47</v>
      </c>
      <c r="B99" t="s">
        <v>147</v>
      </c>
      <c r="D99" s="36" t="s">
        <v>153</v>
      </c>
      <c r="E99" s="37" t="s">
        <v>154</v>
      </c>
      <c r="F99" s="38">
        <f>SUM(N99:T99)</f>
        <v>28408.799999999999</v>
      </c>
      <c r="G99" s="39" t="s">
        <v>150</v>
      </c>
      <c r="H99" s="39">
        <v>8</v>
      </c>
      <c r="I99" s="39">
        <v>190</v>
      </c>
      <c r="J99" s="40"/>
      <c r="K99" s="40">
        <v>30000</v>
      </c>
      <c r="L99" s="177">
        <v>26951.68</v>
      </c>
      <c r="M99" s="177">
        <v>17.920000000000002</v>
      </c>
      <c r="N99" s="180">
        <v>28408.799999999999</v>
      </c>
      <c r="O99" s="132"/>
      <c r="P99" s="41"/>
      <c r="Q99" s="41"/>
      <c r="R99" s="41"/>
      <c r="S99" s="41"/>
      <c r="T99" s="41"/>
      <c r="U99" s="40">
        <v>4770.78</v>
      </c>
      <c r="V99" s="40">
        <f t="shared" si="53"/>
        <v>4913.9034000000001</v>
      </c>
      <c r="W99" s="42">
        <f>+(F99)*0.2381</f>
        <v>6764.1352800000004</v>
      </c>
      <c r="X99" s="40">
        <f>F99*0.0765</f>
        <v>2173.2732000000001</v>
      </c>
      <c r="Y99" s="42">
        <f>F99*0.001</f>
        <v>28.408799999999999</v>
      </c>
      <c r="Z99" s="42">
        <f>F99+SUM(V99:Y99)</f>
        <v>42288.520680000001</v>
      </c>
      <c r="AC99" s="5"/>
      <c r="AD99" s="5"/>
      <c r="AE99" s="5"/>
    </row>
    <row r="100" spans="1:31" ht="14.25" customHeight="1">
      <c r="D100" s="36"/>
      <c r="E100" s="137" t="s">
        <v>146</v>
      </c>
      <c r="F100" s="138">
        <f>SUM(F97:F99)</f>
        <v>96200.8</v>
      </c>
      <c r="G100" s="138">
        <f t="shared" ref="G100:N100" si="54">SUM(G97:G99)</f>
        <v>0</v>
      </c>
      <c r="H100" s="138">
        <f t="shared" si="54"/>
        <v>43</v>
      </c>
      <c r="I100" s="138">
        <f t="shared" si="54"/>
        <v>570</v>
      </c>
      <c r="J100" s="138">
        <f t="shared" si="54"/>
        <v>0</v>
      </c>
      <c r="K100" s="138">
        <f t="shared" si="54"/>
        <v>90131.199999999997</v>
      </c>
      <c r="L100" s="138">
        <f t="shared" si="54"/>
        <v>92053.28</v>
      </c>
      <c r="M100" s="138"/>
      <c r="N100" s="138">
        <f t="shared" si="54"/>
        <v>96200.8</v>
      </c>
      <c r="O100" s="138">
        <f>SUM(O97:O99)</f>
        <v>0</v>
      </c>
      <c r="P100" s="138">
        <v>26951.68</v>
      </c>
      <c r="Q100" s="138">
        <v>17.920000000000002</v>
      </c>
      <c r="R100" s="138">
        <f t="shared" ref="R100:Z100" si="55">SUM(R97:R99)</f>
        <v>0</v>
      </c>
      <c r="S100" s="138">
        <f t="shared" si="55"/>
        <v>0</v>
      </c>
      <c r="T100" s="138">
        <f t="shared" si="55"/>
        <v>0</v>
      </c>
      <c r="U100" s="138">
        <f t="shared" si="55"/>
        <v>14312.34</v>
      </c>
      <c r="V100" s="138">
        <f t="shared" si="55"/>
        <v>14741.710200000001</v>
      </c>
      <c r="W100" s="138">
        <f t="shared" si="55"/>
        <v>22905.410479999999</v>
      </c>
      <c r="X100" s="138">
        <f t="shared" si="55"/>
        <v>7359.3611999999994</v>
      </c>
      <c r="Y100" s="138">
        <f t="shared" si="55"/>
        <v>96.200800000000001</v>
      </c>
      <c r="Z100" s="138">
        <f t="shared" si="55"/>
        <v>141303.48268000002</v>
      </c>
      <c r="AC100" s="5"/>
      <c r="AD100" s="5"/>
      <c r="AE100" s="5"/>
    </row>
    <row r="101" spans="1:31" ht="14.25" customHeight="1">
      <c r="A101" s="1"/>
      <c r="B101" s="1"/>
      <c r="C101" s="1"/>
      <c r="D101" s="36"/>
      <c r="E101" s="156"/>
      <c r="F101" s="38"/>
      <c r="G101" s="39"/>
      <c r="H101" s="39"/>
      <c r="I101" s="39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2"/>
      <c r="X101" s="40"/>
      <c r="Y101" s="42"/>
      <c r="Z101" s="42"/>
      <c r="AC101" s="5"/>
      <c r="AD101" s="5"/>
      <c r="AE101" s="5"/>
    </row>
    <row r="102" spans="1:31" ht="14.25" customHeight="1">
      <c r="A102" t="s">
        <v>155</v>
      </c>
      <c r="B102" t="s">
        <v>48</v>
      </c>
      <c r="D102" s="36" t="s">
        <v>156</v>
      </c>
      <c r="E102" s="37" t="s">
        <v>157</v>
      </c>
      <c r="F102" s="38">
        <f t="shared" ref="F102:F114" si="56">SUM(N102:T102)</f>
        <v>76094.067999999999</v>
      </c>
      <c r="G102" s="39" t="s">
        <v>65</v>
      </c>
      <c r="H102" s="39">
        <v>22</v>
      </c>
      <c r="I102" s="39">
        <v>190</v>
      </c>
      <c r="J102" s="40"/>
      <c r="K102" s="40">
        <v>59492.800000000003</v>
      </c>
      <c r="L102" s="40">
        <v>63113.99</v>
      </c>
      <c r="M102" s="40"/>
      <c r="N102" s="148">
        <v>66144.067999999999</v>
      </c>
      <c r="O102" s="41"/>
      <c r="P102" s="40"/>
      <c r="Q102" s="41"/>
      <c r="R102" s="41"/>
      <c r="S102" s="132">
        <v>500</v>
      </c>
      <c r="T102" s="132">
        <v>9450</v>
      </c>
      <c r="U102" s="40">
        <v>7218.848</v>
      </c>
      <c r="V102" s="40">
        <f t="shared" ref="V102:V114" si="57">+U102*1.03</f>
        <v>7435.4134400000003</v>
      </c>
      <c r="W102" s="42">
        <f t="shared" ref="W102:W116" si="58">+(F102)*0.2381</f>
        <v>18117.997590800001</v>
      </c>
      <c r="X102" s="40">
        <f t="shared" ref="X102:X116" si="59">F102*0.0765</f>
        <v>5821.1962020000001</v>
      </c>
      <c r="Y102" s="42">
        <f t="shared" ref="Y102:Y116" si="60">F102*0.001</f>
        <v>76.094068000000007</v>
      </c>
      <c r="Z102" s="42">
        <f t="shared" ref="Z102:Z116" si="61">F102+SUM(V102:Y102)</f>
        <v>107544.76930079999</v>
      </c>
      <c r="AC102" s="5"/>
      <c r="AD102" s="5"/>
      <c r="AE102" s="5"/>
    </row>
    <row r="103" spans="1:31" ht="14.25" customHeight="1">
      <c r="A103" t="s">
        <v>155</v>
      </c>
      <c r="B103" t="s">
        <v>48</v>
      </c>
      <c r="D103" s="36" t="s">
        <v>156</v>
      </c>
      <c r="E103" s="37" t="s">
        <v>158</v>
      </c>
      <c r="F103" s="38">
        <f t="shared" si="56"/>
        <v>91601.965249999979</v>
      </c>
      <c r="G103" s="39" t="s">
        <v>104</v>
      </c>
      <c r="H103" s="39">
        <v>31</v>
      </c>
      <c r="I103" s="39">
        <v>190</v>
      </c>
      <c r="J103" s="181"/>
      <c r="K103" s="181">
        <v>76775.199999999997</v>
      </c>
      <c r="L103" s="40">
        <v>87769.38</v>
      </c>
      <c r="M103" s="40"/>
      <c r="N103" s="148">
        <v>91101.965249999979</v>
      </c>
      <c r="O103" s="182"/>
      <c r="P103" s="182"/>
      <c r="Q103" s="182"/>
      <c r="R103" s="182"/>
      <c r="S103" s="183">
        <v>500</v>
      </c>
      <c r="T103" s="182"/>
      <c r="U103" s="40">
        <v>11572.12</v>
      </c>
      <c r="V103" s="40">
        <f t="shared" si="57"/>
        <v>11919.283600000001</v>
      </c>
      <c r="W103" s="42">
        <f t="shared" si="58"/>
        <v>21810.427926024997</v>
      </c>
      <c r="X103" s="40">
        <f t="shared" si="59"/>
        <v>7007.5503416249985</v>
      </c>
      <c r="Y103" s="42">
        <f t="shared" si="60"/>
        <v>91.601965249999978</v>
      </c>
      <c r="Z103" s="42">
        <f t="shared" si="61"/>
        <v>132430.82908289999</v>
      </c>
      <c r="AC103" s="5"/>
      <c r="AD103" s="5"/>
      <c r="AE103" s="5"/>
    </row>
    <row r="104" spans="1:31" ht="14.25" customHeight="1">
      <c r="A104" t="s">
        <v>155</v>
      </c>
      <c r="B104" t="s">
        <v>48</v>
      </c>
      <c r="D104" s="36" t="s">
        <v>159</v>
      </c>
      <c r="E104" s="205" t="s">
        <v>160</v>
      </c>
      <c r="F104" s="38">
        <f t="shared" si="56"/>
        <v>54639.464999999997</v>
      </c>
      <c r="G104" s="39" t="s">
        <v>51</v>
      </c>
      <c r="H104" s="39">
        <v>4</v>
      </c>
      <c r="I104" s="39">
        <v>190</v>
      </c>
      <c r="J104" s="40"/>
      <c r="K104" s="40">
        <v>47743.199999999997</v>
      </c>
      <c r="L104" s="40">
        <v>51093.98</v>
      </c>
      <c r="M104" s="40"/>
      <c r="N104" s="148">
        <v>54139.464999999997</v>
      </c>
      <c r="O104" s="41"/>
      <c r="P104" s="41"/>
      <c r="Q104" s="41"/>
      <c r="R104" s="41"/>
      <c r="S104" s="132">
        <v>500</v>
      </c>
      <c r="T104" s="41"/>
      <c r="U104" s="40">
        <v>11572.12</v>
      </c>
      <c r="V104" s="40">
        <f t="shared" si="57"/>
        <v>11919.283600000001</v>
      </c>
      <c r="W104" s="42">
        <f t="shared" si="58"/>
        <v>13009.6566165</v>
      </c>
      <c r="X104" s="40">
        <f t="shared" si="59"/>
        <v>4179.9190724999999</v>
      </c>
      <c r="Y104" s="42">
        <f t="shared" si="60"/>
        <v>54.639464999999994</v>
      </c>
      <c r="Z104" s="42">
        <f t="shared" si="61"/>
        <v>83802.963753999997</v>
      </c>
      <c r="AC104" s="5"/>
      <c r="AD104" s="5"/>
      <c r="AE104" s="5"/>
    </row>
    <row r="105" spans="1:31" ht="14.25" customHeight="1">
      <c r="A105" t="s">
        <v>155</v>
      </c>
      <c r="B105" t="s">
        <v>48</v>
      </c>
      <c r="D105" s="36" t="s">
        <v>156</v>
      </c>
      <c r="E105" s="37" t="s">
        <v>161</v>
      </c>
      <c r="F105" s="38">
        <f t="shared" si="56"/>
        <v>51266.945999999996</v>
      </c>
      <c r="G105" s="39" t="s">
        <v>65</v>
      </c>
      <c r="H105" s="39">
        <v>7</v>
      </c>
      <c r="I105" s="39">
        <v>190</v>
      </c>
      <c r="J105" s="181"/>
      <c r="K105" s="181">
        <v>45144</v>
      </c>
      <c r="L105" s="40">
        <v>48299.51</v>
      </c>
      <c r="M105" s="40"/>
      <c r="N105" s="148">
        <v>51266.945999999996</v>
      </c>
      <c r="O105" s="182"/>
      <c r="P105" s="182"/>
      <c r="Q105" s="182"/>
      <c r="R105" s="182"/>
      <c r="S105" s="182"/>
      <c r="T105" s="182"/>
      <c r="U105" s="40">
        <v>4770.78</v>
      </c>
      <c r="V105" s="40">
        <f t="shared" si="57"/>
        <v>4913.9034000000001</v>
      </c>
      <c r="W105" s="42">
        <f t="shared" si="58"/>
        <v>12206.6598426</v>
      </c>
      <c r="X105" s="40">
        <f t="shared" si="59"/>
        <v>3921.9213689999997</v>
      </c>
      <c r="Y105" s="42">
        <f t="shared" si="60"/>
        <v>51.266945999999997</v>
      </c>
      <c r="Z105" s="42">
        <f t="shared" si="61"/>
        <v>72360.697557599997</v>
      </c>
      <c r="AC105" s="5"/>
      <c r="AD105" s="5"/>
      <c r="AE105" s="5"/>
    </row>
    <row r="106" spans="1:31" ht="14.25" customHeight="1">
      <c r="A106" t="s">
        <v>155</v>
      </c>
      <c r="B106" t="s">
        <v>48</v>
      </c>
      <c r="D106" s="36" t="s">
        <v>156</v>
      </c>
      <c r="E106" s="37" t="s">
        <v>162</v>
      </c>
      <c r="F106" s="38">
        <f t="shared" si="56"/>
        <v>64926.045999999995</v>
      </c>
      <c r="G106" s="39" t="s">
        <v>51</v>
      </c>
      <c r="H106" s="39">
        <v>14</v>
      </c>
      <c r="I106" s="39">
        <v>190</v>
      </c>
      <c r="J106" s="181"/>
      <c r="K106" s="181">
        <v>58048.800000000003</v>
      </c>
      <c r="L106" s="40">
        <v>61755.27</v>
      </c>
      <c r="M106" s="40"/>
      <c r="N106" s="148">
        <v>64926.045999999995</v>
      </c>
      <c r="O106" s="182"/>
      <c r="P106" s="182"/>
      <c r="Q106" s="182"/>
      <c r="R106" s="182"/>
      <c r="S106" s="182"/>
      <c r="T106" s="182"/>
      <c r="U106" s="40">
        <v>4770.78</v>
      </c>
      <c r="V106" s="40">
        <f t="shared" si="57"/>
        <v>4913.9034000000001</v>
      </c>
      <c r="W106" s="42">
        <f t="shared" si="58"/>
        <v>15458.8915526</v>
      </c>
      <c r="X106" s="40">
        <f t="shared" si="59"/>
        <v>4966.8425189999998</v>
      </c>
      <c r="Y106" s="42">
        <f t="shared" si="60"/>
        <v>64.926045999999999</v>
      </c>
      <c r="Z106" s="42">
        <f t="shared" si="61"/>
        <v>90330.609517599994</v>
      </c>
      <c r="AC106" s="5"/>
      <c r="AD106" s="5"/>
      <c r="AE106" s="5"/>
    </row>
    <row r="107" spans="1:31" ht="14.25" customHeight="1">
      <c r="A107" t="s">
        <v>155</v>
      </c>
      <c r="B107" t="s">
        <v>48</v>
      </c>
      <c r="D107" s="36" t="s">
        <v>159</v>
      </c>
      <c r="E107" s="147" t="s">
        <v>163</v>
      </c>
      <c r="F107" s="38">
        <f t="shared" si="56"/>
        <v>58386.109999999993</v>
      </c>
      <c r="G107" s="39" t="s">
        <v>51</v>
      </c>
      <c r="H107" s="39">
        <v>8</v>
      </c>
      <c r="I107" s="39">
        <v>190</v>
      </c>
      <c r="J107" s="181"/>
      <c r="K107" s="181">
        <v>51862.400000000001</v>
      </c>
      <c r="L107" s="40">
        <v>55308.79</v>
      </c>
      <c r="M107" s="40"/>
      <c r="N107" s="148">
        <v>58386.109999999993</v>
      </c>
      <c r="O107" s="182"/>
      <c r="P107" s="182"/>
      <c r="Q107" s="182"/>
      <c r="R107" s="182"/>
      <c r="S107" s="182"/>
      <c r="T107" s="182"/>
      <c r="U107" s="40">
        <v>4770.78</v>
      </c>
      <c r="V107" s="40">
        <f t="shared" si="57"/>
        <v>4913.9034000000001</v>
      </c>
      <c r="W107" s="42">
        <f t="shared" si="58"/>
        <v>13901.732790999999</v>
      </c>
      <c r="X107" s="40">
        <f t="shared" si="59"/>
        <v>4466.5374149999998</v>
      </c>
      <c r="Y107" s="42">
        <f t="shared" si="60"/>
        <v>58.386109999999995</v>
      </c>
      <c r="Z107" s="42">
        <f t="shared" si="61"/>
        <v>81726.669715999989</v>
      </c>
      <c r="AC107" s="5"/>
      <c r="AD107" s="5"/>
      <c r="AE107" s="5"/>
    </row>
    <row r="108" spans="1:31" ht="14.25" customHeight="1">
      <c r="A108" t="s">
        <v>155</v>
      </c>
      <c r="B108" t="s">
        <v>48</v>
      </c>
      <c r="D108" s="36" t="s">
        <v>156</v>
      </c>
      <c r="E108" s="206" t="s">
        <v>164</v>
      </c>
      <c r="F108" s="38">
        <f t="shared" si="56"/>
        <v>83250.593999999997</v>
      </c>
      <c r="G108" s="39" t="s">
        <v>90</v>
      </c>
      <c r="H108" s="39">
        <v>21</v>
      </c>
      <c r="I108" s="39">
        <v>190</v>
      </c>
      <c r="J108" s="181"/>
      <c r="K108" s="181">
        <v>61924.800000000003</v>
      </c>
      <c r="L108" s="40">
        <v>65642.460000000006</v>
      </c>
      <c r="M108" s="40"/>
      <c r="N108" s="148">
        <v>68750.593999999997</v>
      </c>
      <c r="O108" s="182"/>
      <c r="P108" s="182">
        <v>4000</v>
      </c>
      <c r="Q108" s="182"/>
      <c r="R108" s="182"/>
      <c r="S108" s="182">
        <v>500</v>
      </c>
      <c r="T108" s="182">
        <v>10000</v>
      </c>
      <c r="U108" s="40">
        <v>11572.12</v>
      </c>
      <c r="V108" s="40">
        <f t="shared" si="57"/>
        <v>11919.283600000001</v>
      </c>
      <c r="W108" s="42">
        <f t="shared" si="58"/>
        <v>19821.9664314</v>
      </c>
      <c r="X108" s="40">
        <f t="shared" si="59"/>
        <v>6368.6704409999993</v>
      </c>
      <c r="Y108" s="42">
        <f t="shared" si="60"/>
        <v>83.250593999999992</v>
      </c>
      <c r="Z108" s="42">
        <f t="shared" si="61"/>
        <v>121443.7650664</v>
      </c>
      <c r="AC108" s="5"/>
      <c r="AD108" s="5"/>
      <c r="AE108" s="5"/>
    </row>
    <row r="109" spans="1:31" ht="14.25" customHeight="1">
      <c r="A109" t="s">
        <v>155</v>
      </c>
      <c r="B109" t="s">
        <v>48</v>
      </c>
      <c r="D109" s="36" t="s">
        <v>156</v>
      </c>
      <c r="E109" s="153" t="s">
        <v>165</v>
      </c>
      <c r="F109" s="38">
        <f t="shared" si="56"/>
        <v>91140.603999999992</v>
      </c>
      <c r="G109" s="39" t="s">
        <v>51</v>
      </c>
      <c r="H109" s="39">
        <v>31</v>
      </c>
      <c r="I109" s="39">
        <v>190</v>
      </c>
      <c r="J109" s="181"/>
      <c r="K109" s="181">
        <v>71424.800000000003</v>
      </c>
      <c r="L109" s="40">
        <v>75499.399999999994</v>
      </c>
      <c r="M109" s="40"/>
      <c r="N109" s="148">
        <v>78640.603999999992</v>
      </c>
      <c r="O109" s="182"/>
      <c r="P109" s="165"/>
      <c r="Q109" s="182"/>
      <c r="R109" s="182"/>
      <c r="S109" s="182"/>
      <c r="T109" s="182">
        <v>12500</v>
      </c>
      <c r="U109" s="40">
        <v>11572.12</v>
      </c>
      <c r="V109" s="40">
        <f t="shared" si="57"/>
        <v>11919.283600000001</v>
      </c>
      <c r="W109" s="42">
        <f t="shared" si="58"/>
        <v>21700.577812399999</v>
      </c>
      <c r="X109" s="40">
        <f t="shared" si="59"/>
        <v>6972.2562059999991</v>
      </c>
      <c r="Y109" s="42">
        <f t="shared" si="60"/>
        <v>91.140603999999996</v>
      </c>
      <c r="Z109" s="42">
        <f t="shared" si="61"/>
        <v>131823.8622224</v>
      </c>
      <c r="AC109" s="5"/>
      <c r="AD109" s="5"/>
      <c r="AE109" s="5"/>
    </row>
    <row r="110" spans="1:31" ht="14.25" customHeight="1">
      <c r="A110" t="s">
        <v>155</v>
      </c>
      <c r="B110" t="s">
        <v>48</v>
      </c>
      <c r="D110" s="36" t="s">
        <v>156</v>
      </c>
      <c r="E110" s="37" t="s">
        <v>166</v>
      </c>
      <c r="F110" s="38">
        <f t="shared" si="56"/>
        <v>84806.562999999995</v>
      </c>
      <c r="G110" s="39" t="s">
        <v>56</v>
      </c>
      <c r="H110" s="39">
        <v>26</v>
      </c>
      <c r="I110" s="39">
        <v>190</v>
      </c>
      <c r="J110" s="181"/>
      <c r="K110" s="181">
        <v>76775.199999999997</v>
      </c>
      <c r="L110" s="40">
        <v>81078.070000000007</v>
      </c>
      <c r="M110" s="40"/>
      <c r="N110" s="148">
        <v>84306.562999999995</v>
      </c>
      <c r="O110" s="182"/>
      <c r="P110" s="182"/>
      <c r="Q110" s="182"/>
      <c r="R110" s="182"/>
      <c r="S110" s="182">
        <v>500</v>
      </c>
      <c r="T110" s="182"/>
      <c r="U110" s="40">
        <v>11572.12</v>
      </c>
      <c r="V110" s="40">
        <f t="shared" si="57"/>
        <v>11919.283600000001</v>
      </c>
      <c r="W110" s="42">
        <f t="shared" si="58"/>
        <v>20192.4426503</v>
      </c>
      <c r="X110" s="40">
        <f t="shared" si="59"/>
        <v>6487.7020694999992</v>
      </c>
      <c r="Y110" s="42">
        <f t="shared" si="60"/>
        <v>84.806562999999997</v>
      </c>
      <c r="Z110" s="42">
        <f t="shared" si="61"/>
        <v>123490.79788279999</v>
      </c>
      <c r="AC110" s="231"/>
      <c r="AD110" s="5"/>
      <c r="AE110" s="5"/>
    </row>
    <row r="111" spans="1:31" ht="14.25" customHeight="1">
      <c r="A111" t="s">
        <v>155</v>
      </c>
      <c r="B111" t="s">
        <v>48</v>
      </c>
      <c r="D111" s="36" t="s">
        <v>156</v>
      </c>
      <c r="E111" s="37" t="s">
        <v>167</v>
      </c>
      <c r="F111" s="38">
        <f t="shared" si="56"/>
        <v>46553.015999999996</v>
      </c>
      <c r="G111" s="39" t="s">
        <v>65</v>
      </c>
      <c r="H111" s="39">
        <v>2</v>
      </c>
      <c r="I111" s="39">
        <v>190</v>
      </c>
      <c r="J111" s="40"/>
      <c r="K111" s="40">
        <v>40584</v>
      </c>
      <c r="L111" s="40">
        <v>43631.8</v>
      </c>
      <c r="M111" s="40"/>
      <c r="N111" s="148">
        <v>46553.015999999996</v>
      </c>
      <c r="O111" s="41"/>
      <c r="P111" s="41"/>
      <c r="Q111" s="41"/>
      <c r="R111" s="41"/>
      <c r="S111" s="41"/>
      <c r="T111" s="41"/>
      <c r="U111" s="40">
        <v>11572.12</v>
      </c>
      <c r="V111" s="40">
        <f t="shared" si="57"/>
        <v>11919.283600000001</v>
      </c>
      <c r="W111" s="42">
        <f t="shared" si="58"/>
        <v>11084.273109599999</v>
      </c>
      <c r="X111" s="40">
        <f t="shared" si="59"/>
        <v>3561.3057239999998</v>
      </c>
      <c r="Y111" s="42">
        <f t="shared" si="60"/>
        <v>46.553016</v>
      </c>
      <c r="Z111" s="42">
        <f t="shared" si="61"/>
        <v>73164.431449600001</v>
      </c>
      <c r="AC111" s="231"/>
      <c r="AD111" s="5"/>
      <c r="AE111" s="5"/>
    </row>
    <row r="112" spans="1:31" ht="14.25" customHeight="1">
      <c r="A112" t="s">
        <v>155</v>
      </c>
      <c r="B112" t="s">
        <v>48</v>
      </c>
      <c r="D112" s="36" t="s">
        <v>156</v>
      </c>
      <c r="E112" s="37" t="s">
        <v>168</v>
      </c>
      <c r="F112" s="38">
        <f t="shared" si="56"/>
        <v>75213.50499999999</v>
      </c>
      <c r="G112" s="39" t="s">
        <v>51</v>
      </c>
      <c r="H112" s="39">
        <v>23</v>
      </c>
      <c r="I112" s="39">
        <v>190</v>
      </c>
      <c r="J112" s="181"/>
      <c r="K112" s="181">
        <v>68096</v>
      </c>
      <c r="L112" s="40">
        <v>72074.559999999998</v>
      </c>
      <c r="M112" s="40"/>
      <c r="N112" s="148">
        <v>75213.50499999999</v>
      </c>
      <c r="O112" s="182"/>
      <c r="P112" s="182"/>
      <c r="Q112" s="182"/>
      <c r="R112" s="182"/>
      <c r="S112" s="182"/>
      <c r="T112" s="182"/>
      <c r="U112" s="40">
        <v>11572.12</v>
      </c>
      <c r="V112" s="40">
        <f t="shared" si="57"/>
        <v>11919.283600000001</v>
      </c>
      <c r="W112" s="42">
        <f t="shared" si="58"/>
        <v>17908.335540499997</v>
      </c>
      <c r="X112" s="40">
        <f t="shared" si="59"/>
        <v>5753.833132499999</v>
      </c>
      <c r="Y112" s="42">
        <f t="shared" si="60"/>
        <v>75.213504999999998</v>
      </c>
      <c r="Z112" s="42">
        <f t="shared" si="61"/>
        <v>110870.17077799999</v>
      </c>
      <c r="AC112" s="231"/>
      <c r="AD112" s="5"/>
      <c r="AE112" s="5"/>
    </row>
    <row r="113" spans="1:31" ht="14.25" customHeight="1">
      <c r="A113" t="s">
        <v>155</v>
      </c>
      <c r="B113" t="s">
        <v>48</v>
      </c>
      <c r="D113" s="36" t="s">
        <v>156</v>
      </c>
      <c r="E113" s="37" t="s">
        <v>169</v>
      </c>
      <c r="F113" s="38">
        <f t="shared" si="56"/>
        <v>55701.382999999994</v>
      </c>
      <c r="G113" s="39" t="s">
        <v>51</v>
      </c>
      <c r="H113" s="39">
        <v>5</v>
      </c>
      <c r="I113" s="39">
        <v>190</v>
      </c>
      <c r="J113" s="181"/>
      <c r="K113" s="181">
        <v>48776.800000000003</v>
      </c>
      <c r="L113" s="40">
        <v>52139.47</v>
      </c>
      <c r="M113" s="40"/>
      <c r="N113" s="148">
        <v>55201.382999999994</v>
      </c>
      <c r="O113" s="182"/>
      <c r="P113" s="182"/>
      <c r="Q113" s="182"/>
      <c r="R113" s="182"/>
      <c r="S113" s="182">
        <v>500</v>
      </c>
      <c r="T113" s="182"/>
      <c r="U113" s="40">
        <v>4770.78</v>
      </c>
      <c r="V113" s="40">
        <f t="shared" si="57"/>
        <v>4913.9034000000001</v>
      </c>
      <c r="W113" s="42">
        <f t="shared" si="58"/>
        <v>13262.499292299999</v>
      </c>
      <c r="X113" s="40">
        <f t="shared" si="59"/>
        <v>4261.1557994999994</v>
      </c>
      <c r="Y113" s="42">
        <f t="shared" si="60"/>
        <v>55.701382999999993</v>
      </c>
      <c r="Z113" s="42">
        <f t="shared" si="61"/>
        <v>78194.642874799989</v>
      </c>
      <c r="AA113" s="174"/>
      <c r="AC113" s="5"/>
      <c r="AD113" s="5"/>
      <c r="AE113" s="5"/>
    </row>
    <row r="114" spans="1:31" ht="14.25" customHeight="1">
      <c r="A114" t="s">
        <v>155</v>
      </c>
      <c r="B114" t="s">
        <v>48</v>
      </c>
      <c r="D114" s="36" t="s">
        <v>156</v>
      </c>
      <c r="E114" s="37" t="s">
        <v>170</v>
      </c>
      <c r="F114" s="38">
        <f t="shared" si="56"/>
        <v>52032.060999999994</v>
      </c>
      <c r="G114" s="39" t="s">
        <v>51</v>
      </c>
      <c r="H114" s="39">
        <v>2</v>
      </c>
      <c r="I114" s="39">
        <v>190</v>
      </c>
      <c r="J114" s="40"/>
      <c r="K114" s="40">
        <v>45676</v>
      </c>
      <c r="L114" s="40">
        <v>47909.25</v>
      </c>
      <c r="M114" s="40"/>
      <c r="N114" s="148">
        <v>52032.060999999994</v>
      </c>
      <c r="O114" s="41"/>
      <c r="P114" s="41"/>
      <c r="Q114" s="41"/>
      <c r="R114" s="41"/>
      <c r="S114" s="41"/>
      <c r="T114" s="165"/>
      <c r="U114" s="40">
        <v>4770.78</v>
      </c>
      <c r="V114" s="40">
        <f t="shared" si="57"/>
        <v>4913.9034000000001</v>
      </c>
      <c r="W114" s="42">
        <f t="shared" si="58"/>
        <v>12388.833724099999</v>
      </c>
      <c r="X114" s="40">
        <f t="shared" si="59"/>
        <v>3980.4526664999994</v>
      </c>
      <c r="Y114" s="42">
        <f t="shared" si="60"/>
        <v>52.032060999999999</v>
      </c>
      <c r="Z114" s="42">
        <f t="shared" si="61"/>
        <v>73367.282851600001</v>
      </c>
      <c r="AC114" s="5"/>
      <c r="AD114" s="5"/>
      <c r="AE114" s="5"/>
    </row>
    <row r="115" spans="1:31" ht="14.25" customHeight="1">
      <c r="A115" t="s">
        <v>155</v>
      </c>
      <c r="B115" t="s">
        <v>48</v>
      </c>
      <c r="D115" s="36" t="s">
        <v>156</v>
      </c>
      <c r="E115" s="37" t="s">
        <v>520</v>
      </c>
      <c r="F115" s="38">
        <f t="shared" ref="F115:F116" si="62">SUM(N115:T115)</f>
        <v>64926.05</v>
      </c>
      <c r="G115" s="39">
        <v>0</v>
      </c>
      <c r="H115" s="39">
        <v>0</v>
      </c>
      <c r="I115" s="39">
        <v>190</v>
      </c>
      <c r="J115" s="38"/>
      <c r="K115" s="38">
        <v>0</v>
      </c>
      <c r="L115" s="40">
        <v>0</v>
      </c>
      <c r="M115" s="40"/>
      <c r="N115" s="131">
        <v>64926.05</v>
      </c>
      <c r="O115" s="167"/>
      <c r="P115" s="167"/>
      <c r="Q115" s="167"/>
      <c r="R115" s="167"/>
      <c r="S115" s="167"/>
      <c r="T115" s="168"/>
      <c r="U115" s="40">
        <v>4771.78</v>
      </c>
      <c r="V115" s="40">
        <f t="shared" ref="V115" si="63">+U115*1.03</f>
        <v>4914.9333999999999</v>
      </c>
      <c r="W115" s="42">
        <f t="shared" si="58"/>
        <v>15458.892505000002</v>
      </c>
      <c r="X115" s="40">
        <f t="shared" si="59"/>
        <v>4966.8428249999997</v>
      </c>
      <c r="Y115" s="42">
        <f t="shared" si="60"/>
        <v>64.926050000000004</v>
      </c>
      <c r="Z115" s="42">
        <f t="shared" si="61"/>
        <v>90331.644780000002</v>
      </c>
      <c r="AC115" s="5"/>
      <c r="AD115" s="5"/>
      <c r="AE115" s="5"/>
    </row>
    <row r="116" spans="1:31" ht="14.25" customHeight="1">
      <c r="A116" t="s">
        <v>155</v>
      </c>
      <c r="B116" t="s">
        <v>48</v>
      </c>
      <c r="D116" s="36" t="s">
        <v>156</v>
      </c>
      <c r="E116" s="137" t="s">
        <v>171</v>
      </c>
      <c r="F116" s="38">
        <f t="shared" si="62"/>
        <v>0</v>
      </c>
      <c r="G116" s="39"/>
      <c r="H116" s="39"/>
      <c r="I116" s="39">
        <v>190</v>
      </c>
      <c r="J116" s="40"/>
      <c r="K116" s="40">
        <v>0</v>
      </c>
      <c r="L116" s="40">
        <v>0</v>
      </c>
      <c r="M116" s="40"/>
      <c r="N116" s="134">
        <v>0</v>
      </c>
      <c r="O116" s="133"/>
      <c r="P116" s="133"/>
      <c r="Q116" s="133"/>
      <c r="R116" s="133"/>
      <c r="S116" s="133"/>
      <c r="T116" s="184"/>
      <c r="U116" s="40">
        <v>4772.78</v>
      </c>
      <c r="V116" s="40">
        <f t="shared" ref="V116" si="64">+U116*1.03</f>
        <v>4915.9633999999996</v>
      </c>
      <c r="W116" s="42">
        <f t="shared" si="58"/>
        <v>0</v>
      </c>
      <c r="X116" s="40">
        <f t="shared" si="59"/>
        <v>0</v>
      </c>
      <c r="Y116" s="42">
        <f t="shared" si="60"/>
        <v>0</v>
      </c>
      <c r="Z116" s="42">
        <f t="shared" si="61"/>
        <v>4915.9633999999996</v>
      </c>
      <c r="AC116" s="5"/>
      <c r="AD116" s="5"/>
      <c r="AE116" s="5"/>
    </row>
    <row r="117" spans="1:31" ht="14.25" customHeight="1">
      <c r="D117" s="36"/>
      <c r="E117" s="137" t="s">
        <v>101</v>
      </c>
      <c r="F117" s="138">
        <f>SUM(F102:F116)</f>
        <v>950538.37624999986</v>
      </c>
      <c r="G117" s="138">
        <f t="shared" ref="G117:Z117" si="65">SUM(G102:G116)</f>
        <v>0</v>
      </c>
      <c r="H117" s="138">
        <f t="shared" si="65"/>
        <v>196</v>
      </c>
      <c r="I117" s="138">
        <f t="shared" si="65"/>
        <v>2850</v>
      </c>
      <c r="J117" s="138">
        <f t="shared" si="65"/>
        <v>0</v>
      </c>
      <c r="K117" s="138">
        <f t="shared" si="65"/>
        <v>752324</v>
      </c>
      <c r="L117" s="138">
        <f t="shared" si="65"/>
        <v>805315.93000000017</v>
      </c>
      <c r="M117" s="138">
        <f t="shared" ref="M117" si="66">SUM(M102:M116)</f>
        <v>0</v>
      </c>
      <c r="N117" s="138">
        <f t="shared" si="65"/>
        <v>911588.37624999986</v>
      </c>
      <c r="O117" s="138">
        <f t="shared" si="65"/>
        <v>0</v>
      </c>
      <c r="P117" s="138">
        <f t="shared" si="65"/>
        <v>4000</v>
      </c>
      <c r="Q117" s="138">
        <f t="shared" si="65"/>
        <v>0</v>
      </c>
      <c r="R117" s="138">
        <f t="shared" si="65"/>
        <v>0</v>
      </c>
      <c r="S117" s="138">
        <f t="shared" si="65"/>
        <v>3000</v>
      </c>
      <c r="T117" s="138">
        <f t="shared" si="65"/>
        <v>31950</v>
      </c>
      <c r="U117" s="138">
        <f t="shared" si="65"/>
        <v>121622.14799999999</v>
      </c>
      <c r="V117" s="138">
        <f t="shared" si="65"/>
        <v>125270.81243999998</v>
      </c>
      <c r="W117" s="138">
        <f t="shared" si="65"/>
        <v>226323.18738512497</v>
      </c>
      <c r="X117" s="138">
        <f t="shared" si="65"/>
        <v>72716.18578312498</v>
      </c>
      <c r="Y117" s="138">
        <f t="shared" si="65"/>
        <v>950.53837624999983</v>
      </c>
      <c r="Z117" s="138">
        <f t="shared" si="65"/>
        <v>1375799.1002344999</v>
      </c>
      <c r="AC117" s="5"/>
      <c r="AD117" s="5"/>
      <c r="AE117" s="5"/>
    </row>
    <row r="118" spans="1:31" ht="14.25" customHeight="1">
      <c r="A118" s="1"/>
      <c r="B118" s="1"/>
      <c r="C118" s="1"/>
      <c r="D118" s="36"/>
      <c r="E118" s="37">
        <v>13.5</v>
      </c>
      <c r="F118" s="38"/>
      <c r="G118" s="39"/>
      <c r="H118" s="39"/>
      <c r="I118" s="39"/>
      <c r="J118" s="40"/>
      <c r="K118" s="40"/>
      <c r="L118" s="40"/>
      <c r="M118" s="40"/>
      <c r="N118" s="40"/>
      <c r="O118" s="41"/>
      <c r="P118" s="41"/>
      <c r="Q118" s="41"/>
      <c r="R118" s="41"/>
      <c r="S118" s="41"/>
      <c r="T118" s="41"/>
      <c r="U118" s="40"/>
      <c r="V118" s="40"/>
      <c r="W118" s="42"/>
      <c r="X118" s="40"/>
      <c r="Y118" s="42"/>
      <c r="Z118" s="42"/>
      <c r="AC118" s="5"/>
      <c r="AD118" s="5"/>
      <c r="AE118" s="5"/>
    </row>
    <row r="119" spans="1:31" ht="14.25" customHeight="1">
      <c r="A119" t="s">
        <v>172</v>
      </c>
      <c r="B119" t="s">
        <v>48</v>
      </c>
      <c r="D119" s="36" t="s">
        <v>173</v>
      </c>
      <c r="E119" s="37" t="s">
        <v>521</v>
      </c>
      <c r="F119" s="38">
        <f t="shared" ref="F119:F127" si="67">SUM(N119:T119)</f>
        <v>45631.8</v>
      </c>
      <c r="G119" s="39" t="s">
        <v>65</v>
      </c>
      <c r="H119" s="39">
        <v>5</v>
      </c>
      <c r="I119" s="39">
        <v>190</v>
      </c>
      <c r="J119" s="40"/>
      <c r="K119" s="40">
        <v>43320</v>
      </c>
      <c r="L119" s="40">
        <v>52139.47</v>
      </c>
      <c r="M119" s="40"/>
      <c r="N119" s="131">
        <v>45631.8</v>
      </c>
      <c r="O119" s="1"/>
      <c r="P119" s="1"/>
      <c r="Q119" s="1"/>
      <c r="R119" s="1"/>
      <c r="S119" s="1"/>
      <c r="T119" s="1"/>
      <c r="U119" s="40">
        <v>4770.78</v>
      </c>
      <c r="V119" s="40">
        <f t="shared" ref="V119:V125" si="68">+U119*1.03</f>
        <v>4913.9034000000001</v>
      </c>
      <c r="W119" s="42">
        <f t="shared" ref="W119:W127" si="69">+(F119)*0.2381</f>
        <v>10864.93158</v>
      </c>
      <c r="X119" s="40">
        <f t="shared" ref="X119:X127" si="70">F119*0.0765</f>
        <v>3490.8326999999999</v>
      </c>
      <c r="Y119" s="42">
        <f t="shared" ref="Y119:Y127" si="71">F119*0.001</f>
        <v>45.631800000000005</v>
      </c>
      <c r="Z119" s="42">
        <f t="shared" ref="Z119:Z127" si="72">F119+SUM(V119:Y119)</f>
        <v>64947.099480000004</v>
      </c>
      <c r="AC119" s="5"/>
      <c r="AD119" s="5"/>
      <c r="AE119" s="5"/>
    </row>
    <row r="120" spans="1:31" ht="14.25" customHeight="1">
      <c r="A120" t="s">
        <v>172</v>
      </c>
      <c r="B120" t="s">
        <v>48</v>
      </c>
      <c r="D120" s="36" t="s">
        <v>173</v>
      </c>
      <c r="E120" s="37" t="s">
        <v>174</v>
      </c>
      <c r="F120" s="38">
        <f t="shared" si="67"/>
        <v>80353.474999999991</v>
      </c>
      <c r="G120" s="39" t="s">
        <v>51</v>
      </c>
      <c r="H120" s="39">
        <v>24</v>
      </c>
      <c r="I120" s="39">
        <v>190</v>
      </c>
      <c r="J120" s="40"/>
      <c r="K120" s="40">
        <v>69205.600000000006</v>
      </c>
      <c r="L120" s="40">
        <v>73213.509999999995</v>
      </c>
      <c r="M120" s="40"/>
      <c r="N120" s="148">
        <v>76353.474999999991</v>
      </c>
      <c r="O120" s="41"/>
      <c r="P120" s="40">
        <v>4000</v>
      </c>
      <c r="Q120" s="41"/>
      <c r="R120" s="41"/>
      <c r="S120" s="41"/>
      <c r="T120" s="41"/>
      <c r="U120" s="40">
        <v>4770.78</v>
      </c>
      <c r="V120" s="40">
        <f t="shared" si="68"/>
        <v>4913.9034000000001</v>
      </c>
      <c r="W120" s="42">
        <f t="shared" si="69"/>
        <v>19132.1623975</v>
      </c>
      <c r="X120" s="40">
        <f t="shared" si="70"/>
        <v>6147.0408374999988</v>
      </c>
      <c r="Y120" s="42">
        <f t="shared" si="71"/>
        <v>80.353474999999989</v>
      </c>
      <c r="Z120" s="42">
        <f t="shared" si="72"/>
        <v>110626.93510999999</v>
      </c>
      <c r="AC120" s="5"/>
      <c r="AD120" s="5"/>
      <c r="AE120" s="5"/>
    </row>
    <row r="121" spans="1:31" ht="14.25" customHeight="1">
      <c r="A121" t="s">
        <v>172</v>
      </c>
      <c r="B121" t="s">
        <v>48</v>
      </c>
      <c r="D121" s="36" t="s">
        <v>173</v>
      </c>
      <c r="E121" s="37" t="s">
        <v>175</v>
      </c>
      <c r="F121" s="38">
        <f t="shared" si="67"/>
        <v>52203.569999999992</v>
      </c>
      <c r="G121" s="39" t="s">
        <v>65</v>
      </c>
      <c r="H121" s="39">
        <v>8</v>
      </c>
      <c r="I121" s="39">
        <v>190</v>
      </c>
      <c r="J121" s="40"/>
      <c r="K121" s="40">
        <v>46056</v>
      </c>
      <c r="L121" s="40">
        <v>49266.95</v>
      </c>
      <c r="M121" s="40"/>
      <c r="N121" s="148">
        <v>52203.569999999992</v>
      </c>
      <c r="O121" s="41"/>
      <c r="P121" s="41"/>
      <c r="Q121" s="41"/>
      <c r="R121" s="41"/>
      <c r="S121" s="41"/>
      <c r="T121" s="41"/>
      <c r="U121" s="40">
        <v>9260.8040000000001</v>
      </c>
      <c r="V121" s="40">
        <f t="shared" si="68"/>
        <v>9538.6281200000012</v>
      </c>
      <c r="W121" s="42">
        <f t="shared" si="69"/>
        <v>12429.670016999999</v>
      </c>
      <c r="X121" s="40">
        <f t="shared" si="70"/>
        <v>3993.5731049999995</v>
      </c>
      <c r="Y121" s="42">
        <f t="shared" si="71"/>
        <v>52.203569999999992</v>
      </c>
      <c r="Z121" s="42">
        <f t="shared" si="72"/>
        <v>78217.644811999984</v>
      </c>
      <c r="AC121" s="5"/>
      <c r="AD121" s="5"/>
      <c r="AE121" s="5"/>
    </row>
    <row r="122" spans="1:31" ht="14.25" customHeight="1">
      <c r="A122" t="s">
        <v>172</v>
      </c>
      <c r="B122" t="s">
        <v>48</v>
      </c>
      <c r="D122" s="36" t="s">
        <v>173</v>
      </c>
      <c r="E122" s="37" t="s">
        <v>176</v>
      </c>
      <c r="F122" s="38">
        <f t="shared" si="67"/>
        <v>44679.767999999996</v>
      </c>
      <c r="G122" s="39" t="s">
        <v>65</v>
      </c>
      <c r="H122" s="39">
        <v>0</v>
      </c>
      <c r="I122" s="39">
        <v>190</v>
      </c>
      <c r="J122" s="40"/>
      <c r="K122" s="40">
        <v>41743.14</v>
      </c>
      <c r="L122" s="40">
        <v>41743.14</v>
      </c>
      <c r="M122" s="40"/>
      <c r="N122" s="148">
        <v>44679.767999999996</v>
      </c>
      <c r="O122" s="41"/>
      <c r="P122" s="182"/>
      <c r="Q122" s="41"/>
      <c r="R122" s="41"/>
      <c r="S122" s="41"/>
      <c r="T122" s="41"/>
      <c r="U122" s="40">
        <v>9259.768</v>
      </c>
      <c r="V122" s="40">
        <f t="shared" si="68"/>
        <v>9537.5610400000005</v>
      </c>
      <c r="W122" s="42">
        <f t="shared" si="69"/>
        <v>10638.2527608</v>
      </c>
      <c r="X122" s="40">
        <f t="shared" si="70"/>
        <v>3418.0022519999998</v>
      </c>
      <c r="Y122" s="42">
        <f t="shared" si="71"/>
        <v>44.679767999999996</v>
      </c>
      <c r="Z122" s="42">
        <f t="shared" si="72"/>
        <v>68318.263820799999</v>
      </c>
      <c r="AC122" s="5"/>
      <c r="AD122" s="5"/>
      <c r="AE122" s="5"/>
    </row>
    <row r="123" spans="1:31" ht="14.25" customHeight="1">
      <c r="A123" t="s">
        <v>172</v>
      </c>
      <c r="B123" t="s">
        <v>48</v>
      </c>
      <c r="D123" s="36" t="s">
        <v>173</v>
      </c>
      <c r="E123" s="153" t="s">
        <v>177</v>
      </c>
      <c r="F123" s="38">
        <f t="shared" si="67"/>
        <v>64909.251999999993</v>
      </c>
      <c r="G123" s="39" t="s">
        <v>51</v>
      </c>
      <c r="H123" s="39">
        <v>0</v>
      </c>
      <c r="I123" s="39">
        <v>190</v>
      </c>
      <c r="J123" s="40"/>
      <c r="K123" s="40">
        <v>46850.83</v>
      </c>
      <c r="L123" s="40">
        <v>46850.83</v>
      </c>
      <c r="M123" s="40"/>
      <c r="N123" s="148">
        <v>49909.251999999993</v>
      </c>
      <c r="O123" s="41"/>
      <c r="P123" s="182"/>
      <c r="Q123" s="41"/>
      <c r="R123" s="41"/>
      <c r="S123" s="41"/>
      <c r="T123" s="150">
        <v>15000</v>
      </c>
      <c r="U123" s="40">
        <v>9259.768</v>
      </c>
      <c r="V123" s="40">
        <f t="shared" si="68"/>
        <v>9537.5610400000005</v>
      </c>
      <c r="W123" s="42">
        <f t="shared" si="69"/>
        <v>15454.892901199999</v>
      </c>
      <c r="X123" s="40">
        <f t="shared" si="70"/>
        <v>4965.5577779999994</v>
      </c>
      <c r="Y123" s="42">
        <f t="shared" si="71"/>
        <v>64.909251999999995</v>
      </c>
      <c r="Z123" s="42">
        <f t="shared" si="72"/>
        <v>94932.172971199994</v>
      </c>
      <c r="AC123" s="5"/>
      <c r="AD123" s="5"/>
      <c r="AE123" s="5"/>
    </row>
    <row r="124" spans="1:31" ht="14.25" customHeight="1">
      <c r="A124" t="s">
        <v>172</v>
      </c>
      <c r="B124" t="s">
        <v>48</v>
      </c>
      <c r="D124" s="36" t="s">
        <v>173</v>
      </c>
      <c r="E124" s="37" t="s">
        <v>178</v>
      </c>
      <c r="F124" s="38">
        <f t="shared" si="67"/>
        <v>78640.603999999992</v>
      </c>
      <c r="G124" s="39" t="s">
        <v>51</v>
      </c>
      <c r="H124" s="39">
        <v>29</v>
      </c>
      <c r="I124" s="39">
        <v>190</v>
      </c>
      <c r="J124" s="40"/>
      <c r="K124" s="40">
        <v>71424.800000000003</v>
      </c>
      <c r="L124" s="40">
        <v>75499.399999999994</v>
      </c>
      <c r="M124" s="40"/>
      <c r="N124" s="148">
        <v>78640.603999999992</v>
      </c>
      <c r="O124" s="41"/>
      <c r="P124" s="41"/>
      <c r="Q124" s="41"/>
      <c r="R124" s="41"/>
      <c r="S124" s="41"/>
      <c r="T124" s="41"/>
      <c r="U124" s="40">
        <v>7218.848</v>
      </c>
      <c r="V124" s="40">
        <f t="shared" si="68"/>
        <v>7435.4134400000003</v>
      </c>
      <c r="W124" s="42">
        <f t="shared" si="69"/>
        <v>18724.327812399999</v>
      </c>
      <c r="X124" s="40">
        <f t="shared" si="70"/>
        <v>6016.0062059999991</v>
      </c>
      <c r="Y124" s="42">
        <f t="shared" si="71"/>
        <v>78.640603999999996</v>
      </c>
      <c r="Z124" s="42">
        <f t="shared" si="72"/>
        <v>110894.99206239999</v>
      </c>
      <c r="AC124" s="5"/>
      <c r="AD124" s="5"/>
      <c r="AE124" s="5"/>
    </row>
    <row r="125" spans="1:31" ht="14.25" customHeight="1">
      <c r="A125" t="s">
        <v>172</v>
      </c>
      <c r="B125" t="s">
        <v>48</v>
      </c>
      <c r="D125" s="36" t="s">
        <v>179</v>
      </c>
      <c r="E125" s="37" t="s">
        <v>180</v>
      </c>
      <c r="F125" s="38">
        <f t="shared" si="67"/>
        <v>82320.25</v>
      </c>
      <c r="G125" s="39" t="s">
        <v>56</v>
      </c>
      <c r="H125" s="39">
        <v>18</v>
      </c>
      <c r="I125" s="39">
        <v>210</v>
      </c>
      <c r="J125" s="40"/>
      <c r="K125" s="40">
        <v>74272.800000000003</v>
      </c>
      <c r="L125" s="40">
        <v>78729.440000000002</v>
      </c>
      <c r="M125" s="40"/>
      <c r="N125" s="178">
        <v>82320.25</v>
      </c>
      <c r="O125" s="41"/>
      <c r="P125" s="41"/>
      <c r="Q125" s="41"/>
      <c r="R125" s="41"/>
      <c r="S125" s="41"/>
      <c r="T125" s="165"/>
      <c r="U125" s="40">
        <v>4770.78</v>
      </c>
      <c r="V125" s="40">
        <f t="shared" si="68"/>
        <v>4913.9034000000001</v>
      </c>
      <c r="W125" s="42">
        <f t="shared" si="69"/>
        <v>19600.451525</v>
      </c>
      <c r="X125" s="40">
        <f t="shared" si="70"/>
        <v>6297.4991250000003</v>
      </c>
      <c r="Y125" s="42">
        <f t="shared" si="71"/>
        <v>82.320250000000001</v>
      </c>
      <c r="Z125" s="42">
        <f t="shared" si="72"/>
        <v>113214.4243</v>
      </c>
      <c r="AC125" s="5"/>
      <c r="AD125" s="5"/>
      <c r="AE125" s="5"/>
    </row>
    <row r="126" spans="1:31" ht="14.25" customHeight="1">
      <c r="A126" t="s">
        <v>172</v>
      </c>
      <c r="B126" t="s">
        <v>48</v>
      </c>
      <c r="D126" s="36" t="s">
        <v>173</v>
      </c>
      <c r="E126" s="37" t="s">
        <v>181</v>
      </c>
      <c r="F126" s="38">
        <f t="shared" si="67"/>
        <v>48098.650999999998</v>
      </c>
      <c r="G126" s="146" t="s">
        <v>90</v>
      </c>
      <c r="H126" s="39">
        <v>1</v>
      </c>
      <c r="I126" s="39">
        <v>190</v>
      </c>
      <c r="J126" s="138"/>
      <c r="K126" s="138">
        <v>45099.38</v>
      </c>
      <c r="L126" s="38">
        <v>45099.38</v>
      </c>
      <c r="M126" s="138">
        <v>0</v>
      </c>
      <c r="N126" s="148">
        <v>48098.650999999998</v>
      </c>
      <c r="O126" s="138"/>
      <c r="P126" s="138"/>
      <c r="Q126" s="138"/>
      <c r="R126" s="138"/>
      <c r="S126" s="138"/>
      <c r="T126" s="138"/>
      <c r="U126" s="40">
        <v>4771.78</v>
      </c>
      <c r="V126" s="40">
        <f t="shared" ref="V126:V127" si="73">+U126*1.03</f>
        <v>4914.9333999999999</v>
      </c>
      <c r="W126" s="42">
        <f t="shared" si="69"/>
        <v>11452.2888031</v>
      </c>
      <c r="X126" s="40">
        <f t="shared" si="70"/>
        <v>3679.5468014999997</v>
      </c>
      <c r="Y126" s="42">
        <f t="shared" si="71"/>
        <v>48.098650999999997</v>
      </c>
      <c r="Z126" s="42">
        <f t="shared" si="72"/>
        <v>68193.518655599997</v>
      </c>
      <c r="AA126" s="138"/>
      <c r="AC126" s="5"/>
      <c r="AD126" s="5"/>
      <c r="AE126" s="5"/>
    </row>
    <row r="127" spans="1:31" ht="14.25" customHeight="1">
      <c r="A127" t="s">
        <v>172</v>
      </c>
      <c r="B127" t="s">
        <v>48</v>
      </c>
      <c r="D127" s="36" t="s">
        <v>182</v>
      </c>
      <c r="E127" s="37" t="s">
        <v>522</v>
      </c>
      <c r="F127" s="38">
        <f t="shared" si="67"/>
        <v>69500.3</v>
      </c>
      <c r="G127" s="146"/>
      <c r="H127" s="39"/>
      <c r="I127" s="39"/>
      <c r="J127" s="138"/>
      <c r="K127" s="138">
        <v>70000</v>
      </c>
      <c r="L127" s="38"/>
      <c r="M127" s="138"/>
      <c r="N127" s="131">
        <v>69500.3</v>
      </c>
      <c r="O127" s="38"/>
      <c r="P127" s="38"/>
      <c r="Q127" s="38"/>
      <c r="R127" s="38"/>
      <c r="S127" s="38"/>
      <c r="T127" s="38"/>
      <c r="U127" s="40">
        <v>4772.78</v>
      </c>
      <c r="V127" s="40">
        <f t="shared" si="73"/>
        <v>4915.9633999999996</v>
      </c>
      <c r="W127" s="42">
        <f t="shared" si="69"/>
        <v>16548.021430000001</v>
      </c>
      <c r="X127" s="40">
        <f t="shared" si="70"/>
        <v>5316.7729500000005</v>
      </c>
      <c r="Y127" s="42">
        <f t="shared" si="71"/>
        <v>69.50030000000001</v>
      </c>
      <c r="Z127" s="42">
        <f t="shared" si="72"/>
        <v>96350.558080000003</v>
      </c>
      <c r="AA127" s="138"/>
      <c r="AC127" s="5"/>
      <c r="AD127" s="5"/>
      <c r="AE127" s="5"/>
    </row>
    <row r="128" spans="1:31" ht="14.25" customHeight="1">
      <c r="D128" s="36"/>
      <c r="E128" s="137" t="s">
        <v>183</v>
      </c>
      <c r="F128" s="138">
        <f>SUM(F119:F127)</f>
        <v>566337.66999999993</v>
      </c>
      <c r="G128" s="138">
        <f t="shared" ref="G128:N128" si="74">SUM(G119:G127)</f>
        <v>0</v>
      </c>
      <c r="H128" s="138">
        <f t="shared" si="74"/>
        <v>85</v>
      </c>
      <c r="I128" s="138">
        <f t="shared" si="74"/>
        <v>1540</v>
      </c>
      <c r="J128" s="138">
        <f t="shared" si="74"/>
        <v>0</v>
      </c>
      <c r="K128" s="138">
        <f t="shared" si="74"/>
        <v>507972.55</v>
      </c>
      <c r="L128" s="138">
        <f t="shared" si="74"/>
        <v>462542.12000000005</v>
      </c>
      <c r="M128" s="138">
        <f t="shared" si="74"/>
        <v>0</v>
      </c>
      <c r="N128" s="138">
        <f t="shared" si="74"/>
        <v>547337.66999999993</v>
      </c>
      <c r="O128" s="138">
        <f t="shared" ref="O128:Z128" si="75">SUM(O119:O127)</f>
        <v>0</v>
      </c>
      <c r="P128" s="138">
        <f t="shared" si="75"/>
        <v>4000</v>
      </c>
      <c r="Q128" s="138">
        <f t="shared" si="75"/>
        <v>0</v>
      </c>
      <c r="R128" s="138">
        <f t="shared" si="75"/>
        <v>0</v>
      </c>
      <c r="S128" s="138">
        <f t="shared" si="75"/>
        <v>0</v>
      </c>
      <c r="T128" s="138">
        <f t="shared" si="75"/>
        <v>15000</v>
      </c>
      <c r="U128" s="138">
        <f t="shared" si="75"/>
        <v>58856.087999999996</v>
      </c>
      <c r="V128" s="138">
        <f t="shared" si="75"/>
        <v>60621.77064000001</v>
      </c>
      <c r="W128" s="138">
        <f t="shared" si="75"/>
        <v>134844.99922699999</v>
      </c>
      <c r="X128" s="138">
        <f t="shared" si="75"/>
        <v>43324.831754999992</v>
      </c>
      <c r="Y128" s="138">
        <f t="shared" si="75"/>
        <v>566.33767</v>
      </c>
      <c r="Z128" s="138">
        <f t="shared" si="75"/>
        <v>805695.60929199995</v>
      </c>
      <c r="AA128" s="138"/>
      <c r="AC128" s="5"/>
      <c r="AD128" s="5"/>
      <c r="AE128" s="5"/>
    </row>
    <row r="129" spans="1:31" ht="14.25" customHeight="1">
      <c r="A129" s="1"/>
      <c r="B129" s="1"/>
      <c r="C129" s="1"/>
      <c r="D129" s="36"/>
      <c r="E129" s="37"/>
      <c r="F129" s="38"/>
      <c r="G129" s="39"/>
      <c r="H129" s="39"/>
      <c r="I129" s="39"/>
      <c r="J129" s="40"/>
      <c r="K129" s="40"/>
      <c r="L129" s="40"/>
      <c r="M129" s="40"/>
      <c r="N129" s="40"/>
      <c r="O129" s="41"/>
      <c r="P129" s="41"/>
      <c r="Q129" s="41"/>
      <c r="R129" s="41"/>
      <c r="S129" s="41"/>
      <c r="T129" s="41"/>
      <c r="U129" s="40"/>
      <c r="V129" s="40"/>
      <c r="W129" s="42"/>
      <c r="X129" s="40"/>
      <c r="Y129" s="42"/>
      <c r="Z129" s="42"/>
      <c r="AC129" s="5"/>
      <c r="AD129" s="5"/>
      <c r="AE129" s="5"/>
    </row>
    <row r="130" spans="1:31" ht="14.25" customHeight="1">
      <c r="A130" t="s">
        <v>184</v>
      </c>
      <c r="B130" t="s">
        <v>147</v>
      </c>
      <c r="D130" s="36" t="s">
        <v>185</v>
      </c>
      <c r="E130" s="37" t="s">
        <v>186</v>
      </c>
      <c r="F130" s="38">
        <f>SUM(N130:T130)</f>
        <v>31220.799999999999</v>
      </c>
      <c r="G130" s="146" t="s">
        <v>150</v>
      </c>
      <c r="H130" s="39">
        <v>13</v>
      </c>
      <c r="I130" s="39">
        <v>190</v>
      </c>
      <c r="J130" s="138"/>
      <c r="K130" s="138">
        <v>24259.200000000001</v>
      </c>
      <c r="L130" s="177">
        <v>29959.200000000001</v>
      </c>
      <c r="M130" s="177">
        <v>19.71</v>
      </c>
      <c r="N130" s="178">
        <v>31220.799999999999</v>
      </c>
      <c r="O130" s="138"/>
      <c r="P130" s="138"/>
      <c r="Q130" s="138"/>
      <c r="R130" s="138"/>
      <c r="S130" s="138"/>
      <c r="T130" s="138"/>
      <c r="U130" s="40">
        <v>4770.78</v>
      </c>
      <c r="V130" s="40">
        <f>+U130*1.03</f>
        <v>4913.9034000000001</v>
      </c>
      <c r="W130" s="42">
        <f>+(F130)*0.2381</f>
        <v>7433.6724800000002</v>
      </c>
      <c r="X130" s="40">
        <f>F130*0.0765</f>
        <v>2388.3912</v>
      </c>
      <c r="Y130" s="42">
        <f>F130*0.001</f>
        <v>31.220800000000001</v>
      </c>
      <c r="Z130" s="42">
        <f>F130+SUM(V130:Y130)</f>
        <v>45987.987880000001</v>
      </c>
      <c r="AC130" s="5"/>
      <c r="AD130" s="5"/>
      <c r="AE130" s="5"/>
    </row>
    <row r="131" spans="1:31" ht="14.25" customHeight="1">
      <c r="A131" t="s">
        <v>187</v>
      </c>
      <c r="B131" t="s">
        <v>147</v>
      </c>
      <c r="D131" s="36" t="s">
        <v>185</v>
      </c>
      <c r="E131" s="37" t="s">
        <v>188</v>
      </c>
      <c r="F131" s="38">
        <f>SUM(N131:T131)</f>
        <v>25840</v>
      </c>
      <c r="G131" s="39" t="s">
        <v>150</v>
      </c>
      <c r="H131" s="39">
        <v>3</v>
      </c>
      <c r="I131" s="39">
        <v>190</v>
      </c>
      <c r="J131" s="40"/>
      <c r="K131" s="40"/>
      <c r="L131" s="177">
        <v>23940</v>
      </c>
      <c r="M131" s="177">
        <v>16.11</v>
      </c>
      <c r="N131" s="178">
        <v>25840</v>
      </c>
      <c r="O131" s="41"/>
      <c r="P131" s="41"/>
      <c r="Q131" s="41"/>
      <c r="R131" s="41"/>
      <c r="S131" s="41"/>
      <c r="T131" s="41"/>
      <c r="U131" s="40"/>
      <c r="V131" s="40">
        <v>4913.8999999999996</v>
      </c>
      <c r="W131" s="42">
        <f>+(F131)*0.2381</f>
        <v>6152.5039999999999</v>
      </c>
      <c r="X131" s="40">
        <v>2293.96</v>
      </c>
      <c r="Y131" s="42">
        <v>29.98</v>
      </c>
      <c r="Z131" s="42">
        <f>F131+SUM(V131:Y131)</f>
        <v>39230.343999999997</v>
      </c>
      <c r="AC131" s="5"/>
      <c r="AD131" s="5"/>
      <c r="AE131" s="5"/>
    </row>
    <row r="132" spans="1:31" ht="14.25" customHeight="1">
      <c r="A132" t="s">
        <v>189</v>
      </c>
      <c r="B132" t="s">
        <v>147</v>
      </c>
      <c r="D132" s="36" t="s">
        <v>185</v>
      </c>
      <c r="E132" s="37" t="s">
        <v>190</v>
      </c>
      <c r="F132" s="38">
        <f>SUM(N132:T132)</f>
        <v>31220.799999999999</v>
      </c>
      <c r="G132" s="39" t="s">
        <v>150</v>
      </c>
      <c r="H132" s="39">
        <v>13</v>
      </c>
      <c r="I132" s="39">
        <v>190</v>
      </c>
      <c r="J132" s="40"/>
      <c r="K132" s="40">
        <v>27405.599999999999</v>
      </c>
      <c r="L132" s="177">
        <v>29959.200000000001</v>
      </c>
      <c r="M132" s="177">
        <v>19.71</v>
      </c>
      <c r="N132" s="178">
        <v>31220.799999999999</v>
      </c>
      <c r="O132" s="41"/>
      <c r="P132" s="41"/>
      <c r="Q132" s="41"/>
      <c r="R132" s="41"/>
      <c r="S132" s="41"/>
      <c r="T132" s="41"/>
      <c r="U132" s="40">
        <v>4770.78</v>
      </c>
      <c r="V132" s="40">
        <f t="shared" ref="V132:V134" si="76">+U132*1.03</f>
        <v>4913.9034000000001</v>
      </c>
      <c r="W132" s="42">
        <f>+(F132)*0.2381</f>
        <v>7433.6724800000002</v>
      </c>
      <c r="X132" s="40">
        <f>F132*0.0765</f>
        <v>2388.3912</v>
      </c>
      <c r="Y132" s="42">
        <f>F132*0.001</f>
        <v>31.220800000000001</v>
      </c>
      <c r="Z132" s="42">
        <f>F132+SUM(V132:Y132)</f>
        <v>45987.987880000001</v>
      </c>
      <c r="AC132" s="5"/>
      <c r="AD132" s="5"/>
      <c r="AE132" s="5"/>
    </row>
    <row r="133" spans="1:31" ht="14.25" customHeight="1">
      <c r="A133" t="s">
        <v>189</v>
      </c>
      <c r="B133" t="s">
        <v>147</v>
      </c>
      <c r="D133" s="36" t="s">
        <v>185</v>
      </c>
      <c r="E133" s="37" t="s">
        <v>191</v>
      </c>
      <c r="F133" s="38">
        <f>SUM(N133:T133)</f>
        <v>34792.800000000003</v>
      </c>
      <c r="G133" s="39" t="s">
        <v>150</v>
      </c>
      <c r="H133" s="39">
        <v>19</v>
      </c>
      <c r="I133" s="39">
        <v>190</v>
      </c>
      <c r="J133" s="40"/>
      <c r="K133" s="40">
        <v>30597.599999999999</v>
      </c>
      <c r="L133" s="177">
        <v>33424.800000000003</v>
      </c>
      <c r="M133" s="177">
        <v>21.99</v>
      </c>
      <c r="N133" s="178">
        <v>34792.800000000003</v>
      </c>
      <c r="O133" s="41"/>
      <c r="P133" s="41"/>
      <c r="Q133" s="41"/>
      <c r="R133" s="41"/>
      <c r="S133" s="41"/>
      <c r="T133" s="41"/>
      <c r="U133" s="40">
        <v>4770.78</v>
      </c>
      <c r="V133" s="40">
        <f t="shared" si="76"/>
        <v>4913.9034000000001</v>
      </c>
      <c r="W133" s="42">
        <f>+(F133)*0.2381</f>
        <v>8284.1656800000001</v>
      </c>
      <c r="X133" s="40">
        <f>F133*0.0765</f>
        <v>2661.6492000000003</v>
      </c>
      <c r="Y133" s="42">
        <f>F133*0.001</f>
        <v>34.792800000000007</v>
      </c>
      <c r="Z133" s="42">
        <f>F133+SUM(V133:Y133)</f>
        <v>50687.311079999999</v>
      </c>
      <c r="AC133" s="5"/>
      <c r="AD133" s="5"/>
      <c r="AE133" s="5"/>
    </row>
    <row r="134" spans="1:31" ht="14.25" customHeight="1">
      <c r="A134" t="s">
        <v>189</v>
      </c>
      <c r="B134" t="s">
        <v>147</v>
      </c>
      <c r="D134" s="36" t="s">
        <v>185</v>
      </c>
      <c r="E134" s="37" t="s">
        <v>192</v>
      </c>
      <c r="F134" s="38">
        <f>SUM(N134:T134)</f>
        <v>36039.199999999997</v>
      </c>
      <c r="G134" s="39" t="s">
        <v>150</v>
      </c>
      <c r="H134" s="39">
        <v>21</v>
      </c>
      <c r="I134" s="39">
        <v>190</v>
      </c>
      <c r="J134" s="40"/>
      <c r="K134" s="40">
        <v>28059.200000000001</v>
      </c>
      <c r="L134" s="177">
        <v>34625.599999999999</v>
      </c>
      <c r="M134" s="177">
        <v>22.78</v>
      </c>
      <c r="N134" s="178">
        <v>36039.199999999997</v>
      </c>
      <c r="O134" s="41"/>
      <c r="P134" s="41"/>
      <c r="Q134" s="41"/>
      <c r="R134" s="41"/>
      <c r="S134" s="41"/>
      <c r="T134" s="41"/>
      <c r="U134" s="40">
        <v>4770.78</v>
      </c>
      <c r="V134" s="40">
        <f t="shared" si="76"/>
        <v>4913.9034000000001</v>
      </c>
      <c r="W134" s="42">
        <f>+(F134)*0.2381</f>
        <v>8580.9335199999987</v>
      </c>
      <c r="X134" s="40">
        <f>F134*0.0765</f>
        <v>2756.9987999999998</v>
      </c>
      <c r="Y134" s="42">
        <f>F134*0.001</f>
        <v>36.039200000000001</v>
      </c>
      <c r="Z134" s="42">
        <f>F134+SUM(V134:Y134)</f>
        <v>52327.074919999992</v>
      </c>
      <c r="AC134" s="5"/>
      <c r="AD134" s="5"/>
      <c r="AE134" s="5"/>
    </row>
    <row r="135" spans="1:31" ht="14.25" customHeight="1">
      <c r="D135" s="36"/>
      <c r="E135" s="137" t="s">
        <v>146</v>
      </c>
      <c r="F135" s="138">
        <f>SUM(F130:F134)</f>
        <v>159113.60000000001</v>
      </c>
      <c r="G135" s="138">
        <f t="shared" ref="G135:N135" si="77">SUM(G130:G134)</f>
        <v>0</v>
      </c>
      <c r="H135" s="138">
        <f t="shared" si="77"/>
        <v>69</v>
      </c>
      <c r="I135" s="138">
        <f t="shared" si="77"/>
        <v>950</v>
      </c>
      <c r="J135" s="138">
        <f t="shared" si="77"/>
        <v>0</v>
      </c>
      <c r="K135" s="138">
        <f t="shared" si="77"/>
        <v>110321.59999999999</v>
      </c>
      <c r="L135" s="138">
        <f t="shared" si="77"/>
        <v>151908.79999999999</v>
      </c>
      <c r="M135" s="138"/>
      <c r="N135" s="138">
        <f t="shared" si="77"/>
        <v>159113.60000000001</v>
      </c>
      <c r="O135" s="138">
        <f t="shared" ref="O135:Z135" si="78">SUM(O130:O134)</f>
        <v>0</v>
      </c>
      <c r="P135" s="138">
        <f t="shared" si="78"/>
        <v>0</v>
      </c>
      <c r="Q135" s="138">
        <f t="shared" si="78"/>
        <v>0</v>
      </c>
      <c r="R135" s="138">
        <f t="shared" si="78"/>
        <v>0</v>
      </c>
      <c r="S135" s="138">
        <f t="shared" si="78"/>
        <v>0</v>
      </c>
      <c r="T135" s="138">
        <f t="shared" si="78"/>
        <v>0</v>
      </c>
      <c r="U135" s="138">
        <f t="shared" si="78"/>
        <v>19083.12</v>
      </c>
      <c r="V135" s="138">
        <f t="shared" si="78"/>
        <v>24569.513599999998</v>
      </c>
      <c r="W135" s="138">
        <f t="shared" si="78"/>
        <v>37884.94816</v>
      </c>
      <c r="X135" s="138">
        <f t="shared" si="78"/>
        <v>12489.3904</v>
      </c>
      <c r="Y135" s="138">
        <f t="shared" si="78"/>
        <v>163.25360000000001</v>
      </c>
      <c r="Z135" s="138">
        <f t="shared" si="78"/>
        <v>234220.70575999998</v>
      </c>
      <c r="AC135" s="5"/>
      <c r="AD135" s="5"/>
      <c r="AE135" s="5"/>
    </row>
    <row r="136" spans="1:31" ht="14.25" customHeight="1">
      <c r="A136" s="1"/>
      <c r="B136" s="1"/>
      <c r="C136" s="1"/>
      <c r="D136" s="36"/>
      <c r="E136" s="37"/>
      <c r="F136" s="38"/>
      <c r="G136" s="39"/>
      <c r="H136" s="39"/>
      <c r="I136" s="39"/>
      <c r="J136" s="40"/>
      <c r="K136" s="40"/>
      <c r="L136" s="40"/>
      <c r="M136" s="40"/>
      <c r="N136" s="40"/>
      <c r="O136" s="41"/>
      <c r="P136" s="41"/>
      <c r="Q136" s="41"/>
      <c r="R136" s="41"/>
      <c r="S136" s="41"/>
      <c r="T136" s="41"/>
      <c r="U136" s="40"/>
      <c r="V136" s="40"/>
      <c r="W136" s="42"/>
      <c r="X136" s="40"/>
      <c r="Y136" s="42"/>
      <c r="Z136" s="42"/>
      <c r="AC136" s="5"/>
      <c r="AD136" s="5"/>
      <c r="AE136" s="5"/>
    </row>
    <row r="137" spans="1:31" ht="14.25" customHeight="1">
      <c r="A137" t="s">
        <v>184</v>
      </c>
      <c r="B137" t="s">
        <v>48</v>
      </c>
      <c r="D137" s="36" t="s">
        <v>193</v>
      </c>
      <c r="E137" s="37" t="s">
        <v>194</v>
      </c>
      <c r="F137" s="38">
        <f t="shared" ref="F137:F150" si="79">SUM(N137:T137)</f>
        <v>91806.562999999995</v>
      </c>
      <c r="G137" s="39" t="s">
        <v>56</v>
      </c>
      <c r="H137" s="39">
        <v>30</v>
      </c>
      <c r="I137" s="39">
        <v>190</v>
      </c>
      <c r="J137" s="40"/>
      <c r="K137" s="40">
        <v>76775.199999999997</v>
      </c>
      <c r="L137" s="40">
        <v>81078.070000000007</v>
      </c>
      <c r="M137" s="40"/>
      <c r="N137" s="148">
        <v>84306.562999999995</v>
      </c>
      <c r="O137" s="40">
        <v>7500</v>
      </c>
      <c r="P137" s="41"/>
      <c r="Q137" s="41"/>
      <c r="R137" s="41"/>
      <c r="S137" s="41"/>
      <c r="T137" s="41"/>
      <c r="U137" s="40">
        <v>7218.848</v>
      </c>
      <c r="V137" s="40">
        <f t="shared" ref="V137:V139" si="80">+U137*1.03</f>
        <v>7435.4134400000003</v>
      </c>
      <c r="W137" s="42">
        <f t="shared" ref="W137:W150" si="81">+(F137)*0.2381</f>
        <v>21859.1426503</v>
      </c>
      <c r="X137" s="40">
        <f>F137*0.0765</f>
        <v>7023.2020694999992</v>
      </c>
      <c r="Y137" s="42">
        <f>F137*0.001</f>
        <v>91.806562999999997</v>
      </c>
      <c r="Z137" s="42">
        <f t="shared" ref="Z137:Z150" si="82">F137+SUM(V137:Y137)</f>
        <v>128216.12772279998</v>
      </c>
      <c r="AC137" s="5"/>
      <c r="AD137" s="5"/>
      <c r="AE137" s="5"/>
    </row>
    <row r="138" spans="1:31" ht="14.25" customHeight="1">
      <c r="A138" t="s">
        <v>189</v>
      </c>
      <c r="B138" t="s">
        <v>48</v>
      </c>
      <c r="D138" s="36" t="s">
        <v>193</v>
      </c>
      <c r="E138" s="37" t="s">
        <v>195</v>
      </c>
      <c r="F138" s="38">
        <f t="shared" si="79"/>
        <v>84306.562999999995</v>
      </c>
      <c r="G138" s="39" t="s">
        <v>56</v>
      </c>
      <c r="H138" s="39">
        <v>31</v>
      </c>
      <c r="I138" s="39">
        <v>190</v>
      </c>
      <c r="J138" s="40"/>
      <c r="K138" s="40">
        <v>76775.199999999997</v>
      </c>
      <c r="L138" s="40">
        <f>+K138*1.055</f>
        <v>80997.835999999996</v>
      </c>
      <c r="M138" s="40"/>
      <c r="N138" s="148">
        <v>84306.562999999995</v>
      </c>
      <c r="O138" s="41"/>
      <c r="P138" s="41"/>
      <c r="Q138" s="41"/>
      <c r="R138" s="41"/>
      <c r="S138" s="41"/>
      <c r="T138" s="41"/>
      <c r="U138" s="40">
        <v>4770.78</v>
      </c>
      <c r="V138" s="40">
        <f t="shared" si="80"/>
        <v>4913.9034000000001</v>
      </c>
      <c r="W138" s="42">
        <f t="shared" si="81"/>
        <v>20073.3926503</v>
      </c>
      <c r="X138" s="40">
        <f>F138*0.0765</f>
        <v>6449.4520694999992</v>
      </c>
      <c r="Y138" s="42">
        <f>F138*0.001</f>
        <v>84.306562999999997</v>
      </c>
      <c r="Z138" s="42">
        <f t="shared" si="82"/>
        <v>115827.61768279999</v>
      </c>
      <c r="AC138" s="5"/>
      <c r="AD138" s="5"/>
      <c r="AE138" s="5"/>
    </row>
    <row r="139" spans="1:31" ht="14.25" customHeight="1">
      <c r="A139" t="s">
        <v>196</v>
      </c>
      <c r="B139" t="s">
        <v>48</v>
      </c>
      <c r="D139" s="36" t="s">
        <v>193</v>
      </c>
      <c r="E139" s="205" t="s">
        <v>197</v>
      </c>
      <c r="F139" s="38">
        <f t="shared" si="79"/>
        <v>77731.39499999999</v>
      </c>
      <c r="G139" s="39" t="s">
        <v>56</v>
      </c>
      <c r="H139" s="39">
        <v>17</v>
      </c>
      <c r="I139" s="39">
        <v>190</v>
      </c>
      <c r="J139" s="40"/>
      <c r="K139" s="40">
        <v>65983.199999999997</v>
      </c>
      <c r="L139" s="40">
        <v>70013.37</v>
      </c>
      <c r="M139" s="40"/>
      <c r="N139" s="148">
        <v>73231.39499999999</v>
      </c>
      <c r="O139" s="41"/>
      <c r="P139" s="132">
        <v>4000</v>
      </c>
      <c r="Q139" s="41"/>
      <c r="R139" s="41"/>
      <c r="S139" s="41">
        <v>500</v>
      </c>
      <c r="T139" s="41"/>
      <c r="U139" s="40">
        <v>11572.12</v>
      </c>
      <c r="V139" s="40">
        <f t="shared" si="80"/>
        <v>11919.283600000001</v>
      </c>
      <c r="W139" s="42">
        <f t="shared" si="81"/>
        <v>18507.845149499997</v>
      </c>
      <c r="X139" s="40">
        <f>F139*0.0765</f>
        <v>5946.4517174999992</v>
      </c>
      <c r="Y139" s="42">
        <f>F139*0.001</f>
        <v>77.731394999999992</v>
      </c>
      <c r="Z139" s="42">
        <f t="shared" si="82"/>
        <v>114182.70686199999</v>
      </c>
      <c r="AC139" s="5"/>
      <c r="AD139" s="5"/>
      <c r="AE139" s="5"/>
    </row>
    <row r="140" spans="1:31" ht="14.25" customHeight="1">
      <c r="A140" t="s">
        <v>196</v>
      </c>
      <c r="B140" t="s">
        <v>48</v>
      </c>
      <c r="D140" s="36" t="s">
        <v>193</v>
      </c>
      <c r="E140" s="37" t="s">
        <v>198</v>
      </c>
      <c r="F140" s="38">
        <f t="shared" si="79"/>
        <v>54139.464999999997</v>
      </c>
      <c r="G140" s="39" t="s">
        <v>51</v>
      </c>
      <c r="H140" s="39">
        <v>4</v>
      </c>
      <c r="I140" s="39">
        <v>190</v>
      </c>
      <c r="J140" s="40"/>
      <c r="K140" s="173">
        <v>50000</v>
      </c>
      <c r="L140" s="40">
        <v>51093.98</v>
      </c>
      <c r="M140" s="40"/>
      <c r="N140" s="148">
        <v>54139.464999999997</v>
      </c>
      <c r="O140" s="41"/>
      <c r="P140" s="132"/>
      <c r="Q140" s="41"/>
      <c r="R140" s="41"/>
      <c r="S140" s="41"/>
      <c r="T140" s="132"/>
      <c r="U140" s="40"/>
      <c r="V140" s="40">
        <v>9537.5610400000005</v>
      </c>
      <c r="W140" s="42">
        <f t="shared" si="81"/>
        <v>12890.606616499999</v>
      </c>
      <c r="X140" s="40">
        <v>2469.08493</v>
      </c>
      <c r="Y140" s="42">
        <v>32.28</v>
      </c>
      <c r="Z140" s="42">
        <f t="shared" si="82"/>
        <v>79068.997586500001</v>
      </c>
      <c r="AC140" s="5"/>
      <c r="AD140" s="5"/>
      <c r="AE140" s="5"/>
    </row>
    <row r="141" spans="1:31" ht="14.25" customHeight="1">
      <c r="A141" t="s">
        <v>196</v>
      </c>
      <c r="B141" t="s">
        <v>48</v>
      </c>
      <c r="D141" s="36" t="s">
        <v>193</v>
      </c>
      <c r="E141" s="37" t="s">
        <v>199</v>
      </c>
      <c r="F141" s="38">
        <f t="shared" si="79"/>
        <v>61493.513999999996</v>
      </c>
      <c r="G141" s="39" t="s">
        <v>51</v>
      </c>
      <c r="H141" s="39">
        <v>10</v>
      </c>
      <c r="I141" s="39">
        <v>190</v>
      </c>
      <c r="J141" s="40"/>
      <c r="K141" s="40">
        <v>53929.599999999999</v>
      </c>
      <c r="L141" s="40">
        <v>57416.19</v>
      </c>
      <c r="M141" s="40"/>
      <c r="N141" s="148">
        <v>60493.513999999996</v>
      </c>
      <c r="O141" s="41"/>
      <c r="P141" s="132"/>
      <c r="Q141" s="41"/>
      <c r="R141" s="41"/>
      <c r="S141" s="41"/>
      <c r="T141" s="132">
        <v>1000</v>
      </c>
      <c r="U141" s="40">
        <v>9259.768</v>
      </c>
      <c r="V141" s="40">
        <f t="shared" ref="V141:V150" si="83">+U141*1.03</f>
        <v>9537.5610400000005</v>
      </c>
      <c r="W141" s="42">
        <f t="shared" si="81"/>
        <v>14641.605683399999</v>
      </c>
      <c r="X141" s="40">
        <f t="shared" ref="X141:X150" si="84">F141*0.0765</f>
        <v>4704.2538209999993</v>
      </c>
      <c r="Y141" s="42">
        <f t="shared" ref="Y141:Y150" si="85">F141*0.001</f>
        <v>61.493513999999998</v>
      </c>
      <c r="Z141" s="42">
        <f t="shared" si="82"/>
        <v>90438.428058399993</v>
      </c>
      <c r="AC141" s="5"/>
      <c r="AD141" s="5"/>
      <c r="AE141" s="5"/>
    </row>
    <row r="142" spans="1:31" ht="14.25" customHeight="1">
      <c r="A142" t="s">
        <v>196</v>
      </c>
      <c r="B142" t="s">
        <v>48</v>
      </c>
      <c r="D142" s="36" t="s">
        <v>193</v>
      </c>
      <c r="E142" s="153" t="s">
        <v>200</v>
      </c>
      <c r="F142" s="38">
        <f t="shared" si="79"/>
        <v>47489.64</v>
      </c>
      <c r="G142" s="39" t="s">
        <v>65</v>
      </c>
      <c r="H142" s="39">
        <v>3</v>
      </c>
      <c r="I142" s="39">
        <v>190</v>
      </c>
      <c r="J142" s="40"/>
      <c r="K142" s="40">
        <v>53929.599999999999</v>
      </c>
      <c r="L142" s="40">
        <v>44553.02</v>
      </c>
      <c r="M142" s="40"/>
      <c r="N142" s="148">
        <v>47489.64</v>
      </c>
      <c r="O142" s="138"/>
      <c r="P142" s="138"/>
      <c r="Q142" s="138"/>
      <c r="R142" s="138"/>
      <c r="S142" s="138"/>
      <c r="T142" s="138"/>
      <c r="U142" s="40">
        <v>7218.848</v>
      </c>
      <c r="V142" s="40">
        <f t="shared" si="83"/>
        <v>7435.4134400000003</v>
      </c>
      <c r="W142" s="42">
        <f t="shared" si="81"/>
        <v>11307.283284000001</v>
      </c>
      <c r="X142" s="40">
        <f t="shared" si="84"/>
        <v>3632.9574600000001</v>
      </c>
      <c r="Y142" s="42">
        <f t="shared" si="85"/>
        <v>47.489640000000001</v>
      </c>
      <c r="Z142" s="42">
        <f t="shared" si="82"/>
        <v>69912.783823999998</v>
      </c>
      <c r="AC142" s="5"/>
      <c r="AD142" s="5"/>
      <c r="AE142" s="5"/>
    </row>
    <row r="143" spans="1:31" ht="14.25" customHeight="1">
      <c r="A143" t="s">
        <v>196</v>
      </c>
      <c r="B143" t="s">
        <v>48</v>
      </c>
      <c r="D143" s="36" t="s">
        <v>193</v>
      </c>
      <c r="E143" s="37" t="s">
        <v>201</v>
      </c>
      <c r="F143" s="38">
        <f t="shared" si="79"/>
        <v>72013.372999999992</v>
      </c>
      <c r="G143" s="39" t="s">
        <v>56</v>
      </c>
      <c r="H143" s="39">
        <v>16</v>
      </c>
      <c r="I143" s="39">
        <v>190</v>
      </c>
      <c r="J143" s="40"/>
      <c r="K143" s="40">
        <v>64797.599999999999</v>
      </c>
      <c r="L143" s="40">
        <v>68764.539999999994</v>
      </c>
      <c r="M143" s="40"/>
      <c r="N143" s="148">
        <v>72013.372999999992</v>
      </c>
      <c r="O143" s="41"/>
      <c r="P143" s="41"/>
      <c r="Q143" s="41"/>
      <c r="R143" s="41"/>
      <c r="S143" s="41"/>
      <c r="T143" s="41"/>
      <c r="U143" s="40">
        <v>9259.768</v>
      </c>
      <c r="V143" s="40">
        <f t="shared" si="83"/>
        <v>9537.5610400000005</v>
      </c>
      <c r="W143" s="42">
        <f t="shared" si="81"/>
        <v>17146.384111299998</v>
      </c>
      <c r="X143" s="40">
        <f t="shared" si="84"/>
        <v>5509.0230344999991</v>
      </c>
      <c r="Y143" s="42">
        <f t="shared" si="85"/>
        <v>72.013372999999987</v>
      </c>
      <c r="Z143" s="42">
        <f t="shared" si="82"/>
        <v>104278.3545588</v>
      </c>
      <c r="AC143" s="5"/>
      <c r="AD143" s="5"/>
      <c r="AE143" s="5"/>
    </row>
    <row r="144" spans="1:31" ht="14.25" customHeight="1">
      <c r="A144" t="s">
        <v>196</v>
      </c>
      <c r="B144" t="s">
        <v>48</v>
      </c>
      <c r="D144" s="36" t="s">
        <v>193</v>
      </c>
      <c r="E144" s="153" t="s">
        <v>202</v>
      </c>
      <c r="F144" s="38">
        <f t="shared" si="79"/>
        <v>85226.4</v>
      </c>
      <c r="G144" s="39" t="s">
        <v>203</v>
      </c>
      <c r="H144" s="39">
        <v>31</v>
      </c>
      <c r="I144" s="39">
        <v>210</v>
      </c>
      <c r="J144" s="40"/>
      <c r="K144" s="40">
        <v>78978.740000000005</v>
      </c>
      <c r="L144" s="40">
        <f>+K144*1.025</f>
        <v>80953.208499999993</v>
      </c>
      <c r="M144" s="40"/>
      <c r="N144" s="131">
        <v>85226.4</v>
      </c>
      <c r="O144" s="41"/>
      <c r="P144" s="41"/>
      <c r="Q144" s="41"/>
      <c r="R144" s="41"/>
      <c r="S144" s="41"/>
      <c r="T144" s="41"/>
      <c r="U144" s="40">
        <v>11572.12</v>
      </c>
      <c r="V144" s="40">
        <f t="shared" si="83"/>
        <v>11919.283600000001</v>
      </c>
      <c r="W144" s="42">
        <f t="shared" si="81"/>
        <v>20292.405839999999</v>
      </c>
      <c r="X144" s="40">
        <f t="shared" si="84"/>
        <v>6519.8195999999998</v>
      </c>
      <c r="Y144" s="42">
        <f t="shared" si="85"/>
        <v>85.226399999999998</v>
      </c>
      <c r="Z144" s="42">
        <f t="shared" si="82"/>
        <v>124043.13544</v>
      </c>
      <c r="AC144" s="5"/>
      <c r="AD144" s="5"/>
      <c r="AE144" s="5"/>
    </row>
    <row r="145" spans="1:31" ht="14.25" customHeight="1">
      <c r="A145" t="s">
        <v>196</v>
      </c>
      <c r="B145" t="s">
        <v>48</v>
      </c>
      <c r="D145" s="36" t="s">
        <v>193</v>
      </c>
      <c r="E145" s="37" t="s">
        <v>204</v>
      </c>
      <c r="F145" s="38">
        <f t="shared" si="79"/>
        <v>59416.190999999992</v>
      </c>
      <c r="G145" s="39" t="s">
        <v>51</v>
      </c>
      <c r="H145" s="39">
        <v>9</v>
      </c>
      <c r="I145" s="39">
        <v>190</v>
      </c>
      <c r="J145" s="40"/>
      <c r="K145" s="40">
        <v>52880.800000000003</v>
      </c>
      <c r="L145" s="40">
        <v>56386.11</v>
      </c>
      <c r="M145" s="40"/>
      <c r="N145" s="148">
        <v>59416.190999999992</v>
      </c>
      <c r="O145" s="41"/>
      <c r="P145" s="41"/>
      <c r="Q145" s="41"/>
      <c r="R145" s="41"/>
      <c r="S145" s="41"/>
      <c r="T145" s="41"/>
      <c r="U145" s="40">
        <v>4770.78</v>
      </c>
      <c r="V145" s="40">
        <f t="shared" si="83"/>
        <v>4913.9034000000001</v>
      </c>
      <c r="W145" s="42">
        <f t="shared" si="81"/>
        <v>14146.995077099999</v>
      </c>
      <c r="X145" s="40">
        <f t="shared" si="84"/>
        <v>4545.3386114999994</v>
      </c>
      <c r="Y145" s="42">
        <f t="shared" si="85"/>
        <v>59.416190999999991</v>
      </c>
      <c r="Z145" s="42">
        <f t="shared" si="82"/>
        <v>83081.844279599987</v>
      </c>
      <c r="AC145" s="5"/>
      <c r="AD145" s="5"/>
      <c r="AE145" s="5"/>
    </row>
    <row r="146" spans="1:31" ht="14.25" customHeight="1">
      <c r="A146" t="s">
        <v>196</v>
      </c>
      <c r="B146" t="s">
        <v>48</v>
      </c>
      <c r="D146" s="36" t="s">
        <v>193</v>
      </c>
      <c r="E146" s="153" t="s">
        <v>205</v>
      </c>
      <c r="F146" s="38">
        <f t="shared" si="79"/>
        <v>61382.895999999993</v>
      </c>
      <c r="G146" s="39" t="s">
        <v>56</v>
      </c>
      <c r="H146" s="39">
        <v>7</v>
      </c>
      <c r="I146" s="39">
        <v>190</v>
      </c>
      <c r="J146" s="40"/>
      <c r="K146" s="40">
        <v>47804</v>
      </c>
      <c r="L146" s="40">
        <f>+K146*1.055</f>
        <v>50433.219999999994</v>
      </c>
      <c r="M146" s="40">
        <v>0</v>
      </c>
      <c r="N146" s="148">
        <v>61382.895999999993</v>
      </c>
      <c r="O146" s="41"/>
      <c r="P146" s="41"/>
      <c r="Q146" s="41"/>
      <c r="R146" s="41"/>
      <c r="S146" s="41"/>
      <c r="T146" s="41"/>
      <c r="U146" s="40">
        <v>9259.768</v>
      </c>
      <c r="V146" s="40">
        <f t="shared" si="83"/>
        <v>9537.5610400000005</v>
      </c>
      <c r="W146" s="42">
        <f t="shared" si="81"/>
        <v>14615.267537599999</v>
      </c>
      <c r="X146" s="40">
        <f t="shared" si="84"/>
        <v>4695.7915439999997</v>
      </c>
      <c r="Y146" s="42">
        <f t="shared" si="85"/>
        <v>61.382895999999995</v>
      </c>
      <c r="Z146" s="42">
        <f t="shared" si="82"/>
        <v>90292.899017599993</v>
      </c>
      <c r="AC146" s="5"/>
      <c r="AD146" s="5"/>
      <c r="AE146" s="5"/>
    </row>
    <row r="147" spans="1:31" ht="14.25" customHeight="1">
      <c r="A147" t="s">
        <v>196</v>
      </c>
      <c r="B147" t="s">
        <v>48</v>
      </c>
      <c r="D147" s="36" t="s">
        <v>193</v>
      </c>
      <c r="E147" s="37" t="s">
        <v>206</v>
      </c>
      <c r="F147" s="38">
        <f t="shared" si="79"/>
        <v>68344.929000000004</v>
      </c>
      <c r="G147" s="39" t="s">
        <v>51</v>
      </c>
      <c r="H147" s="39">
        <v>17</v>
      </c>
      <c r="I147" s="39">
        <v>190</v>
      </c>
      <c r="J147" s="40"/>
      <c r="K147" s="40">
        <v>61392.800000000003</v>
      </c>
      <c r="L147" s="40">
        <v>65174.15</v>
      </c>
      <c r="M147" s="40"/>
      <c r="N147" s="148">
        <v>68344.929000000004</v>
      </c>
      <c r="O147" s="41"/>
      <c r="P147" s="41"/>
      <c r="Q147" s="41"/>
      <c r="R147" s="41"/>
      <c r="S147" s="41"/>
      <c r="T147" s="41"/>
      <c r="U147" s="40">
        <v>11572.12</v>
      </c>
      <c r="V147" s="40">
        <f t="shared" si="83"/>
        <v>11919.283600000001</v>
      </c>
      <c r="W147" s="42">
        <f t="shared" si="81"/>
        <v>16272.927594900002</v>
      </c>
      <c r="X147" s="40">
        <f t="shared" si="84"/>
        <v>5228.3870685000002</v>
      </c>
      <c r="Y147" s="42">
        <f t="shared" si="85"/>
        <v>68.344929000000008</v>
      </c>
      <c r="Z147" s="42">
        <f t="shared" si="82"/>
        <v>101833.87219240001</v>
      </c>
      <c r="AC147" s="5"/>
      <c r="AD147" s="5"/>
      <c r="AE147" s="5"/>
    </row>
    <row r="148" spans="1:31" ht="14.25" customHeight="1">
      <c r="A148" t="s">
        <v>207</v>
      </c>
      <c r="B148" t="s">
        <v>64</v>
      </c>
      <c r="D148" s="36" t="s">
        <v>193</v>
      </c>
      <c r="E148" s="37" t="s">
        <v>208</v>
      </c>
      <c r="F148" s="38">
        <f t="shared" si="79"/>
        <v>74480.226999999999</v>
      </c>
      <c r="G148" s="146" t="s">
        <v>56</v>
      </c>
      <c r="H148" s="39">
        <v>18</v>
      </c>
      <c r="I148" s="39">
        <v>190</v>
      </c>
      <c r="J148" s="38"/>
      <c r="K148" s="38">
        <v>67199.199999999997</v>
      </c>
      <c r="L148" s="40">
        <v>71231.399999999994</v>
      </c>
      <c r="M148" s="40"/>
      <c r="N148" s="148">
        <v>74480.226999999999</v>
      </c>
      <c r="O148" s="165"/>
      <c r="P148" s="165"/>
      <c r="Q148" s="165"/>
      <c r="R148" s="165"/>
      <c r="S148" s="165"/>
      <c r="T148" s="165"/>
      <c r="U148" s="40">
        <v>11572.12</v>
      </c>
      <c r="V148" s="40">
        <f t="shared" si="83"/>
        <v>11919.283600000001</v>
      </c>
      <c r="W148" s="42">
        <f t="shared" si="81"/>
        <v>17733.742048700002</v>
      </c>
      <c r="X148" s="40">
        <f t="shared" si="84"/>
        <v>5697.7373655000001</v>
      </c>
      <c r="Y148" s="42">
        <f t="shared" si="85"/>
        <v>74.480226999999999</v>
      </c>
      <c r="Z148" s="42">
        <f t="shared" si="82"/>
        <v>109905.4702412</v>
      </c>
      <c r="AC148" s="5"/>
      <c r="AD148" s="5"/>
      <c r="AE148" s="5"/>
    </row>
    <row r="149" spans="1:31" ht="14.25" customHeight="1">
      <c r="A149" t="s">
        <v>196</v>
      </c>
      <c r="B149" t="s">
        <v>48</v>
      </c>
      <c r="D149" s="36" t="s">
        <v>193</v>
      </c>
      <c r="E149" s="153" t="s">
        <v>529</v>
      </c>
      <c r="F149" s="38">
        <f t="shared" si="79"/>
        <v>74160.06</v>
      </c>
      <c r="G149" s="39"/>
      <c r="H149" s="39"/>
      <c r="I149" s="39">
        <v>190</v>
      </c>
      <c r="J149" s="40"/>
      <c r="K149" s="40">
        <v>53929.599999999999</v>
      </c>
      <c r="L149" s="40">
        <v>57416.19</v>
      </c>
      <c r="M149" s="40"/>
      <c r="N149" s="131">
        <v>74160.06</v>
      </c>
      <c r="O149" s="38"/>
      <c r="P149" s="38"/>
      <c r="Q149" s="38"/>
      <c r="R149" s="38"/>
      <c r="S149" s="38"/>
      <c r="T149" s="38"/>
      <c r="U149" s="40">
        <v>7218.848</v>
      </c>
      <c r="V149" s="40">
        <f t="shared" si="83"/>
        <v>7435.4134400000003</v>
      </c>
      <c r="W149" s="42">
        <f t="shared" si="81"/>
        <v>17657.510286000001</v>
      </c>
      <c r="X149" s="40">
        <f t="shared" si="84"/>
        <v>5673.2445899999993</v>
      </c>
      <c r="Y149" s="42">
        <f t="shared" si="85"/>
        <v>74.160060000000001</v>
      </c>
      <c r="Z149" s="42">
        <f t="shared" si="82"/>
        <v>105000.38837599999</v>
      </c>
      <c r="AC149" s="5"/>
      <c r="AD149" s="5"/>
      <c r="AE149" s="5"/>
    </row>
    <row r="150" spans="1:31" ht="14.25" customHeight="1">
      <c r="A150" t="s">
        <v>155</v>
      </c>
      <c r="B150" t="s">
        <v>48</v>
      </c>
      <c r="D150" s="36" t="s">
        <v>193</v>
      </c>
      <c r="E150" s="153" t="s">
        <v>209</v>
      </c>
      <c r="F150" s="38">
        <f t="shared" si="79"/>
        <v>69175.771999999983</v>
      </c>
      <c r="G150" s="39" t="s">
        <v>65</v>
      </c>
      <c r="H150" s="39">
        <v>25</v>
      </c>
      <c r="I150" s="39">
        <v>190</v>
      </c>
      <c r="J150" s="40"/>
      <c r="K150" s="40">
        <v>62472</v>
      </c>
      <c r="L150" s="40">
        <v>66158.02</v>
      </c>
      <c r="M150" s="40"/>
      <c r="N150" s="148">
        <v>69175.771999999983</v>
      </c>
      <c r="O150" s="40"/>
      <c r="P150" s="40"/>
      <c r="Q150" s="41"/>
      <c r="R150" s="41"/>
      <c r="S150" s="41"/>
      <c r="T150" s="41"/>
      <c r="U150" s="40">
        <v>11572.12</v>
      </c>
      <c r="V150" s="40">
        <f t="shared" si="83"/>
        <v>11919.283600000001</v>
      </c>
      <c r="W150" s="42">
        <f t="shared" si="81"/>
        <v>16470.751313199995</v>
      </c>
      <c r="X150" s="40">
        <f t="shared" si="84"/>
        <v>5291.9465579999987</v>
      </c>
      <c r="Y150" s="42">
        <f t="shared" si="85"/>
        <v>69.175771999999981</v>
      </c>
      <c r="Z150" s="42">
        <f t="shared" si="82"/>
        <v>102926.92924319998</v>
      </c>
      <c r="AC150" s="5"/>
      <c r="AD150" s="5"/>
      <c r="AE150" s="5"/>
    </row>
    <row r="151" spans="1:31" ht="14.25" customHeight="1">
      <c r="D151" s="36"/>
      <c r="E151" s="137" t="s">
        <v>101</v>
      </c>
      <c r="F151" s="138">
        <f>SUM(F137:F150)</f>
        <v>981166.98800000001</v>
      </c>
      <c r="G151" s="138">
        <f t="shared" ref="G151:N151" si="86">SUM(G137:G150)</f>
        <v>0</v>
      </c>
      <c r="H151" s="138">
        <f t="shared" si="86"/>
        <v>218</v>
      </c>
      <c r="I151" s="138">
        <f t="shared" si="86"/>
        <v>2680</v>
      </c>
      <c r="J151" s="138">
        <f t="shared" si="86"/>
        <v>0</v>
      </c>
      <c r="K151" s="138">
        <f t="shared" si="86"/>
        <v>866847.53999999992</v>
      </c>
      <c r="L151" s="138">
        <f t="shared" si="86"/>
        <v>901669.30450000009</v>
      </c>
      <c r="M151" s="138"/>
      <c r="N151" s="138">
        <f t="shared" si="86"/>
        <v>968166.98800000001</v>
      </c>
      <c r="O151" s="138">
        <f t="shared" ref="O151:T151" si="87">SUM(O139:O149)</f>
        <v>0</v>
      </c>
      <c r="P151" s="138">
        <f t="shared" si="87"/>
        <v>4000</v>
      </c>
      <c r="Q151" s="138">
        <f t="shared" si="87"/>
        <v>0</v>
      </c>
      <c r="R151" s="138">
        <f t="shared" si="87"/>
        <v>0</v>
      </c>
      <c r="S151" s="138">
        <f t="shared" si="87"/>
        <v>500</v>
      </c>
      <c r="T151" s="138">
        <f t="shared" si="87"/>
        <v>1000</v>
      </c>
      <c r="U151" s="138">
        <f t="shared" ref="U151:Z151" si="88">SUM(U137:U150)</f>
        <v>116838.00799999999</v>
      </c>
      <c r="V151" s="138">
        <f t="shared" si="88"/>
        <v>129880.70927999998</v>
      </c>
      <c r="W151" s="138">
        <f t="shared" si="88"/>
        <v>233615.85984280001</v>
      </c>
      <c r="X151" s="138">
        <f t="shared" si="88"/>
        <v>73386.690439499987</v>
      </c>
      <c r="Y151" s="138">
        <f t="shared" si="88"/>
        <v>959.30752299999995</v>
      </c>
      <c r="Z151" s="138">
        <f t="shared" si="88"/>
        <v>1419009.5550853</v>
      </c>
      <c r="AC151" s="5"/>
      <c r="AD151" s="5"/>
      <c r="AE151" s="5"/>
    </row>
    <row r="152" spans="1:31" ht="14.25" customHeight="1">
      <c r="A152" s="1"/>
      <c r="B152" s="1"/>
      <c r="C152" s="1"/>
      <c r="D152" s="36"/>
      <c r="E152" s="137" t="s">
        <v>210</v>
      </c>
      <c r="F152" s="138">
        <f>F151</f>
        <v>981166.98800000001</v>
      </c>
      <c r="G152" s="138">
        <f t="shared" ref="G152:N152" si="89">G151</f>
        <v>0</v>
      </c>
      <c r="H152" s="138">
        <f t="shared" si="89"/>
        <v>218</v>
      </c>
      <c r="I152" s="138">
        <f t="shared" si="89"/>
        <v>2680</v>
      </c>
      <c r="J152" s="138">
        <f t="shared" si="89"/>
        <v>0</v>
      </c>
      <c r="K152" s="138">
        <f t="shared" si="89"/>
        <v>866847.53999999992</v>
      </c>
      <c r="L152" s="138">
        <f t="shared" si="89"/>
        <v>901669.30450000009</v>
      </c>
      <c r="M152" s="138">
        <f t="shared" si="89"/>
        <v>0</v>
      </c>
      <c r="N152" s="138">
        <f t="shared" si="89"/>
        <v>968166.98800000001</v>
      </c>
      <c r="O152" s="138">
        <f t="shared" ref="O152:Z152" si="90">O151</f>
        <v>0</v>
      </c>
      <c r="P152" s="138">
        <f t="shared" si="90"/>
        <v>4000</v>
      </c>
      <c r="Q152" s="138">
        <f t="shared" si="90"/>
        <v>0</v>
      </c>
      <c r="R152" s="138">
        <f t="shared" si="90"/>
        <v>0</v>
      </c>
      <c r="S152" s="138">
        <f t="shared" si="90"/>
        <v>500</v>
      </c>
      <c r="T152" s="138">
        <f t="shared" si="90"/>
        <v>1000</v>
      </c>
      <c r="U152" s="138">
        <f t="shared" si="90"/>
        <v>116838.00799999999</v>
      </c>
      <c r="V152" s="138">
        <f t="shared" si="90"/>
        <v>129880.70927999998</v>
      </c>
      <c r="W152" s="138">
        <f t="shared" si="90"/>
        <v>233615.85984280001</v>
      </c>
      <c r="X152" s="138">
        <f t="shared" si="90"/>
        <v>73386.690439499987</v>
      </c>
      <c r="Y152" s="138">
        <f t="shared" si="90"/>
        <v>959.30752299999995</v>
      </c>
      <c r="Z152" s="138">
        <f t="shared" si="90"/>
        <v>1419009.5550853</v>
      </c>
      <c r="AC152" s="5"/>
      <c r="AD152" s="5"/>
      <c r="AE152" s="5"/>
    </row>
    <row r="153" spans="1:31" ht="14.25" customHeight="1">
      <c r="A153" s="1"/>
      <c r="B153" s="1"/>
      <c r="C153" s="1"/>
      <c r="D153" s="36"/>
      <c r="E153" s="137" t="s">
        <v>211</v>
      </c>
      <c r="F153" s="138">
        <f>F135+F152</f>
        <v>1140280.588</v>
      </c>
      <c r="G153" s="138">
        <f t="shared" ref="G153:N153" si="91">G135+G152</f>
        <v>0</v>
      </c>
      <c r="H153" s="138">
        <f t="shared" si="91"/>
        <v>287</v>
      </c>
      <c r="I153" s="138">
        <f t="shared" si="91"/>
        <v>3630</v>
      </c>
      <c r="J153" s="138">
        <f t="shared" si="91"/>
        <v>0</v>
      </c>
      <c r="K153" s="138">
        <f t="shared" si="91"/>
        <v>977169.1399999999</v>
      </c>
      <c r="L153" s="138">
        <f t="shared" si="91"/>
        <v>1053578.1045000001</v>
      </c>
      <c r="M153" s="138"/>
      <c r="N153" s="138">
        <f t="shared" si="91"/>
        <v>1127280.588</v>
      </c>
      <c r="O153" s="138">
        <f t="shared" ref="O153:Z153" si="92">O135+O152</f>
        <v>0</v>
      </c>
      <c r="P153" s="138">
        <f t="shared" si="92"/>
        <v>4000</v>
      </c>
      <c r="Q153" s="138">
        <f t="shared" si="92"/>
        <v>0</v>
      </c>
      <c r="R153" s="138">
        <f t="shared" si="92"/>
        <v>0</v>
      </c>
      <c r="S153" s="138">
        <f t="shared" si="92"/>
        <v>500</v>
      </c>
      <c r="T153" s="138">
        <f t="shared" si="92"/>
        <v>1000</v>
      </c>
      <c r="U153" s="138">
        <f t="shared" si="92"/>
        <v>135921.128</v>
      </c>
      <c r="V153" s="138">
        <f t="shared" si="92"/>
        <v>154450.22287999999</v>
      </c>
      <c r="W153" s="138">
        <f t="shared" si="92"/>
        <v>271500.80800279998</v>
      </c>
      <c r="X153" s="138">
        <f t="shared" si="92"/>
        <v>85876.080839499991</v>
      </c>
      <c r="Y153" s="138">
        <f t="shared" si="92"/>
        <v>1122.561123</v>
      </c>
      <c r="Z153" s="138">
        <f t="shared" si="92"/>
        <v>1653230.2608453</v>
      </c>
      <c r="AC153" s="5"/>
      <c r="AD153" s="5"/>
      <c r="AE153" s="5"/>
    </row>
    <row r="154" spans="1:31" ht="14.25" customHeight="1">
      <c r="A154" s="1"/>
      <c r="B154" s="1"/>
      <c r="C154" s="1"/>
      <c r="D154" s="36"/>
      <c r="E154" s="37"/>
      <c r="F154" s="38"/>
      <c r="G154" s="39"/>
      <c r="H154" s="39"/>
      <c r="I154" s="39"/>
      <c r="J154" s="40"/>
      <c r="K154" s="40"/>
      <c r="L154" s="40"/>
      <c r="M154" s="40"/>
      <c r="N154" s="40"/>
      <c r="O154" s="41"/>
      <c r="P154" s="41"/>
      <c r="Q154" s="41"/>
      <c r="R154" s="41"/>
      <c r="S154" s="41"/>
      <c r="T154" s="41"/>
      <c r="U154" s="40"/>
      <c r="V154" s="40"/>
      <c r="W154" s="42"/>
      <c r="X154" s="40"/>
      <c r="Y154" s="42"/>
      <c r="Z154" s="42"/>
      <c r="AC154" s="5"/>
      <c r="AD154" s="5"/>
      <c r="AE154" s="5"/>
    </row>
    <row r="155" spans="1:31" ht="14.25" customHeight="1">
      <c r="A155" t="s">
        <v>212</v>
      </c>
      <c r="B155" t="s">
        <v>48</v>
      </c>
      <c r="D155" s="36" t="s">
        <v>213</v>
      </c>
      <c r="E155" s="147" t="s">
        <v>214</v>
      </c>
      <c r="F155" s="38">
        <f>SUM(N155:T155)</f>
        <v>19290.581102</v>
      </c>
      <c r="G155" s="43"/>
      <c r="H155" s="43"/>
      <c r="I155" s="43"/>
      <c r="J155" s="40"/>
      <c r="K155" s="40">
        <v>16067.82</v>
      </c>
      <c r="L155" s="40">
        <f>+K155*1.055</f>
        <v>16951.5501</v>
      </c>
      <c r="M155" s="40"/>
      <c r="N155" s="40">
        <f>(+L155*1.02)+2000</f>
        <v>19290.581102</v>
      </c>
      <c r="O155" s="41"/>
      <c r="P155" s="41"/>
      <c r="Q155" s="41"/>
      <c r="R155" s="41"/>
      <c r="S155" s="41"/>
      <c r="T155" s="41"/>
      <c r="U155" s="40">
        <v>1424.5</v>
      </c>
      <c r="V155" s="40">
        <f>+U155*1.03</f>
        <v>1467.2350000000001</v>
      </c>
      <c r="W155" s="42">
        <f>+(F155)*0.2381</f>
        <v>4593.0873603862001</v>
      </c>
      <c r="X155" s="40">
        <f>F155*0.0765</f>
        <v>1475.729454303</v>
      </c>
      <c r="Y155" s="42">
        <f>F155*0.001</f>
        <v>19.290581102000001</v>
      </c>
      <c r="Z155" s="42">
        <f>F155+SUM(V155:Y155)</f>
        <v>26845.923497791202</v>
      </c>
      <c r="AC155" s="5"/>
      <c r="AD155" s="5"/>
      <c r="AE155" s="5"/>
    </row>
    <row r="156" spans="1:31" ht="14.25" customHeight="1">
      <c r="D156" s="36"/>
      <c r="E156" s="137" t="s">
        <v>146</v>
      </c>
      <c r="F156" s="138">
        <f>SUM(F155)</f>
        <v>19290.581102</v>
      </c>
      <c r="G156" s="138">
        <f t="shared" ref="G156:N156" si="93">SUM(G155)</f>
        <v>0</v>
      </c>
      <c r="H156" s="138">
        <f t="shared" si="93"/>
        <v>0</v>
      </c>
      <c r="I156" s="138">
        <f t="shared" si="93"/>
        <v>0</v>
      </c>
      <c r="J156" s="138">
        <f t="shared" si="93"/>
        <v>0</v>
      </c>
      <c r="K156" s="138">
        <f t="shared" si="93"/>
        <v>16067.82</v>
      </c>
      <c r="L156" s="138">
        <f t="shared" si="93"/>
        <v>16951.5501</v>
      </c>
      <c r="M156" s="138"/>
      <c r="N156" s="138">
        <f t="shared" si="93"/>
        <v>19290.581102</v>
      </c>
      <c r="O156" s="138">
        <f t="shared" ref="O156:Z156" si="94">SUM(O155)</f>
        <v>0</v>
      </c>
      <c r="P156" s="138">
        <f t="shared" si="94"/>
        <v>0</v>
      </c>
      <c r="Q156" s="138">
        <f t="shared" si="94"/>
        <v>0</v>
      </c>
      <c r="R156" s="138">
        <f t="shared" si="94"/>
        <v>0</v>
      </c>
      <c r="S156" s="138">
        <f t="shared" si="94"/>
        <v>0</v>
      </c>
      <c r="T156" s="138">
        <f t="shared" si="94"/>
        <v>0</v>
      </c>
      <c r="U156" s="138">
        <f t="shared" si="94"/>
        <v>1424.5</v>
      </c>
      <c r="V156" s="138">
        <f t="shared" si="94"/>
        <v>1467.2350000000001</v>
      </c>
      <c r="W156" s="138">
        <f t="shared" si="94"/>
        <v>4593.0873603862001</v>
      </c>
      <c r="X156" s="138">
        <f t="shared" si="94"/>
        <v>1475.729454303</v>
      </c>
      <c r="Y156" s="138">
        <f t="shared" si="94"/>
        <v>19.290581102000001</v>
      </c>
      <c r="Z156" s="138">
        <f t="shared" si="94"/>
        <v>26845.923497791202</v>
      </c>
      <c r="AC156" s="5"/>
      <c r="AD156" s="5"/>
      <c r="AE156" s="5"/>
    </row>
    <row r="157" spans="1:31" ht="14.25" customHeight="1">
      <c r="D157" s="36"/>
      <c r="E157" s="137"/>
      <c r="F157" s="138"/>
      <c r="G157" s="138"/>
      <c r="H157" s="138"/>
      <c r="I157" s="138"/>
      <c r="J157" s="138"/>
      <c r="K157" s="138"/>
      <c r="L157" s="138"/>
      <c r="M157" s="138"/>
      <c r="N157" s="40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C157" s="5"/>
      <c r="AD157" s="5"/>
      <c r="AE157" s="5"/>
    </row>
    <row r="158" spans="1:31" ht="14.25" customHeight="1">
      <c r="A158" t="s">
        <v>215</v>
      </c>
      <c r="B158" t="s">
        <v>48</v>
      </c>
      <c r="D158" s="36" t="s">
        <v>216</v>
      </c>
      <c r="E158" s="37" t="s">
        <v>217</v>
      </c>
      <c r="F158" s="38">
        <f>SUM(N158:T158)</f>
        <v>72260.37</v>
      </c>
      <c r="G158" s="39" t="s">
        <v>51</v>
      </c>
      <c r="H158" s="39">
        <v>14</v>
      </c>
      <c r="I158" s="39">
        <v>210</v>
      </c>
      <c r="J158" s="40"/>
      <c r="K158" s="40">
        <v>64159.199999999997</v>
      </c>
      <c r="L158" s="40">
        <v>68255.820000000007</v>
      </c>
      <c r="M158" s="40"/>
      <c r="N158" s="178">
        <v>71760.37</v>
      </c>
      <c r="O158" s="41"/>
      <c r="P158" s="41"/>
      <c r="Q158" s="41"/>
      <c r="R158" s="41"/>
      <c r="S158" s="132">
        <v>500</v>
      </c>
      <c r="T158" s="41"/>
      <c r="U158" s="40">
        <v>4770.78</v>
      </c>
      <c r="V158" s="40">
        <f t="shared" ref="V158:V166" si="95">+U158*1.03</f>
        <v>4913.9034000000001</v>
      </c>
      <c r="W158" s="42">
        <f t="shared" ref="W158:W166" si="96">+(F158)*0.2381</f>
        <v>17205.194097</v>
      </c>
      <c r="X158" s="40">
        <f t="shared" ref="X158:X166" si="97">F158*0.0765</f>
        <v>5527.9183049999992</v>
      </c>
      <c r="Y158" s="42">
        <f t="shared" ref="Y158:Y166" si="98">F158*0.001</f>
        <v>72.260369999999995</v>
      </c>
      <c r="Z158" s="42">
        <f t="shared" ref="Z158:Z166" si="99">F158+SUM(V158:Y158)</f>
        <v>99979.646171999993</v>
      </c>
      <c r="AC158" s="5"/>
      <c r="AD158" s="5"/>
      <c r="AE158" s="5"/>
    </row>
    <row r="159" spans="1:31" ht="14.25" customHeight="1">
      <c r="A159" t="s">
        <v>215</v>
      </c>
      <c r="B159" t="s">
        <v>48</v>
      </c>
      <c r="D159" s="36" t="s">
        <v>216</v>
      </c>
      <c r="E159" s="37" t="s">
        <v>218</v>
      </c>
      <c r="F159" s="38">
        <f t="shared" ref="F159:F166" si="100">SUM(N159:T159)</f>
        <v>107827.2</v>
      </c>
      <c r="G159" s="39" t="s">
        <v>219</v>
      </c>
      <c r="H159" s="39">
        <v>26</v>
      </c>
      <c r="I159" s="39">
        <v>240</v>
      </c>
      <c r="J159" s="40"/>
      <c r="K159" s="40">
        <v>97248</v>
      </c>
      <c r="L159" s="40">
        <f>+K159*1.055</f>
        <v>102596.64</v>
      </c>
      <c r="M159" s="40"/>
      <c r="N159" s="178">
        <v>107827.2</v>
      </c>
      <c r="O159" s="41"/>
      <c r="P159" s="41"/>
      <c r="Q159" s="41"/>
      <c r="R159" s="41"/>
      <c r="S159" s="132"/>
      <c r="T159" s="41"/>
      <c r="U159" s="40">
        <v>4770.78</v>
      </c>
      <c r="V159" s="40">
        <f t="shared" si="95"/>
        <v>4913.9034000000001</v>
      </c>
      <c r="W159" s="42">
        <f t="shared" si="96"/>
        <v>25673.656319999998</v>
      </c>
      <c r="X159" s="40">
        <f t="shared" si="97"/>
        <v>8248.7808000000005</v>
      </c>
      <c r="Y159" s="42">
        <f t="shared" si="98"/>
        <v>107.8272</v>
      </c>
      <c r="Z159" s="42">
        <f t="shared" si="99"/>
        <v>146771.36771999998</v>
      </c>
      <c r="AC159" s="5"/>
      <c r="AD159" s="5"/>
      <c r="AE159" s="5"/>
    </row>
    <row r="160" spans="1:31" ht="14.25" customHeight="1">
      <c r="A160" t="s">
        <v>215</v>
      </c>
      <c r="B160" t="s">
        <v>48</v>
      </c>
      <c r="D160" s="36" t="s">
        <v>216</v>
      </c>
      <c r="E160" s="37" t="s">
        <v>220</v>
      </c>
      <c r="F160" s="38">
        <f t="shared" si="100"/>
        <v>90463.5</v>
      </c>
      <c r="G160" s="39" t="s">
        <v>56</v>
      </c>
      <c r="H160" s="39">
        <v>24</v>
      </c>
      <c r="I160" s="39">
        <v>210</v>
      </c>
      <c r="J160" s="40"/>
      <c r="K160" s="40">
        <v>82219.199999999997</v>
      </c>
      <c r="L160" s="40">
        <v>86924.9</v>
      </c>
      <c r="M160" s="40"/>
      <c r="N160" s="178">
        <v>90463.5</v>
      </c>
      <c r="O160" s="41"/>
      <c r="P160" s="41"/>
      <c r="Q160" s="41"/>
      <c r="R160" s="41"/>
      <c r="S160" s="41"/>
      <c r="T160" s="41"/>
      <c r="U160" s="40">
        <v>4770.78</v>
      </c>
      <c r="V160" s="40">
        <f t="shared" si="95"/>
        <v>4913.9034000000001</v>
      </c>
      <c r="W160" s="42">
        <f t="shared" si="96"/>
        <v>21539.359349999999</v>
      </c>
      <c r="X160" s="40">
        <f t="shared" si="97"/>
        <v>6920.4577499999996</v>
      </c>
      <c r="Y160" s="42">
        <f t="shared" si="98"/>
        <v>90.463499999999996</v>
      </c>
      <c r="Z160" s="42">
        <f t="shared" si="99"/>
        <v>123927.68399999999</v>
      </c>
      <c r="AC160" s="5"/>
      <c r="AD160" s="5"/>
      <c r="AE160" s="5"/>
    </row>
    <row r="161" spans="1:31" ht="14.25" customHeight="1">
      <c r="A161" t="s">
        <v>221</v>
      </c>
      <c r="B161" t="s">
        <v>64</v>
      </c>
      <c r="D161" s="36" t="s">
        <v>216</v>
      </c>
      <c r="E161" s="37" t="s">
        <v>222</v>
      </c>
      <c r="F161" s="38">
        <f t="shared" si="100"/>
        <v>37272.370000000003</v>
      </c>
      <c r="G161" s="146" t="s">
        <v>56</v>
      </c>
      <c r="H161" s="39">
        <v>31</v>
      </c>
      <c r="I161" s="39">
        <v>210</v>
      </c>
      <c r="J161" s="138"/>
      <c r="K161" s="40">
        <v>33942.720000000001</v>
      </c>
      <c r="L161" s="40">
        <v>35845.040000000001</v>
      </c>
      <c r="M161" s="40"/>
      <c r="N161" s="178">
        <v>37272.370000000003</v>
      </c>
      <c r="O161" s="138"/>
      <c r="P161" s="138"/>
      <c r="Q161" s="138"/>
      <c r="R161" s="138"/>
      <c r="S161" s="138"/>
      <c r="T161" s="138"/>
      <c r="U161" s="40">
        <v>3500</v>
      </c>
      <c r="V161" s="40">
        <f t="shared" si="95"/>
        <v>3605</v>
      </c>
      <c r="W161" s="42">
        <f t="shared" si="96"/>
        <v>8874.551297</v>
      </c>
      <c r="X161" s="40">
        <f t="shared" si="97"/>
        <v>2851.3363050000003</v>
      </c>
      <c r="Y161" s="42">
        <f t="shared" si="98"/>
        <v>37.272370000000002</v>
      </c>
      <c r="Z161" s="42">
        <f t="shared" si="99"/>
        <v>52640.529972000004</v>
      </c>
      <c r="AC161" s="5"/>
      <c r="AD161" s="5"/>
      <c r="AE161" s="5"/>
    </row>
    <row r="162" spans="1:31" ht="14.25" customHeight="1">
      <c r="A162" t="s">
        <v>215</v>
      </c>
      <c r="B162" t="s">
        <v>48</v>
      </c>
      <c r="D162" s="36" t="s">
        <v>216</v>
      </c>
      <c r="E162" s="37" t="s">
        <v>223</v>
      </c>
      <c r="F162" s="38">
        <f t="shared" si="100"/>
        <v>62823.69</v>
      </c>
      <c r="G162" s="39" t="s">
        <v>56</v>
      </c>
      <c r="H162" s="39">
        <v>3</v>
      </c>
      <c r="I162" s="39">
        <v>210</v>
      </c>
      <c r="J162" s="40"/>
      <c r="K162" s="40">
        <v>55490.400000000001</v>
      </c>
      <c r="L162" s="40">
        <v>59353.2</v>
      </c>
      <c r="M162" s="40"/>
      <c r="N162" s="178">
        <v>62823.69</v>
      </c>
      <c r="O162" s="41"/>
      <c r="P162" s="41"/>
      <c r="Q162" s="41"/>
      <c r="R162" s="41"/>
      <c r="S162" s="41"/>
      <c r="T162" s="41"/>
      <c r="U162" s="40">
        <v>4770.78</v>
      </c>
      <c r="V162" s="40">
        <f t="shared" si="95"/>
        <v>4913.9034000000001</v>
      </c>
      <c r="W162" s="42">
        <f t="shared" si="96"/>
        <v>14958.320589000001</v>
      </c>
      <c r="X162" s="40">
        <f t="shared" si="97"/>
        <v>4806.0122849999998</v>
      </c>
      <c r="Y162" s="42">
        <f t="shared" si="98"/>
        <v>62.823690000000006</v>
      </c>
      <c r="Z162" s="42">
        <f t="shared" si="99"/>
        <v>87564.749964000002</v>
      </c>
      <c r="AC162" s="5"/>
      <c r="AD162" s="5"/>
      <c r="AE162" s="5"/>
    </row>
    <row r="163" spans="1:31" ht="14.25" customHeight="1">
      <c r="A163" t="s">
        <v>215</v>
      </c>
      <c r="B163" t="s">
        <v>48</v>
      </c>
      <c r="D163" s="36" t="s">
        <v>216</v>
      </c>
      <c r="E163" s="153" t="s">
        <v>224</v>
      </c>
      <c r="F163" s="38">
        <f t="shared" si="100"/>
        <v>66861.25</v>
      </c>
      <c r="G163" s="39" t="s">
        <v>51</v>
      </c>
      <c r="H163" s="39">
        <v>10</v>
      </c>
      <c r="I163" s="39">
        <v>210</v>
      </c>
      <c r="J163" s="40"/>
      <c r="K163" s="40">
        <v>50000</v>
      </c>
      <c r="L163" s="40">
        <v>63460</v>
      </c>
      <c r="M163" s="40"/>
      <c r="N163" s="178">
        <v>66861.25</v>
      </c>
      <c r="O163" s="40"/>
      <c r="P163" s="40"/>
      <c r="Q163" s="41"/>
      <c r="R163" s="41"/>
      <c r="S163" s="41"/>
      <c r="T163" s="41"/>
      <c r="U163" s="40">
        <v>4770.78</v>
      </c>
      <c r="V163" s="40">
        <f t="shared" si="95"/>
        <v>4913.9034000000001</v>
      </c>
      <c r="W163" s="42">
        <f t="shared" si="96"/>
        <v>15919.663625000001</v>
      </c>
      <c r="X163" s="40">
        <f t="shared" si="97"/>
        <v>5114.8856249999999</v>
      </c>
      <c r="Y163" s="42">
        <f t="shared" si="98"/>
        <v>66.861249999999998</v>
      </c>
      <c r="Z163" s="42">
        <f t="shared" si="99"/>
        <v>92876.563900000008</v>
      </c>
      <c r="AC163" s="5"/>
      <c r="AD163" s="5"/>
      <c r="AE163" s="5"/>
    </row>
    <row r="164" spans="1:31" ht="14.25" customHeight="1">
      <c r="A164" t="s">
        <v>215</v>
      </c>
      <c r="B164" t="s">
        <v>48</v>
      </c>
      <c r="D164" s="36" t="s">
        <v>216</v>
      </c>
      <c r="E164" s="37" t="s">
        <v>225</v>
      </c>
      <c r="F164" s="38">
        <f t="shared" si="100"/>
        <v>79593.72</v>
      </c>
      <c r="G164" s="39" t="s">
        <v>56</v>
      </c>
      <c r="H164" s="39">
        <v>16</v>
      </c>
      <c r="I164" s="39">
        <v>210</v>
      </c>
      <c r="J164" s="40"/>
      <c r="K164" s="40">
        <v>71618.399999999994</v>
      </c>
      <c r="L164" s="40">
        <v>76002.91</v>
      </c>
      <c r="M164" s="40"/>
      <c r="N164" s="178">
        <v>79593.72</v>
      </c>
      <c r="O164" s="40"/>
      <c r="P164" s="40"/>
      <c r="Q164" s="41"/>
      <c r="R164" s="41"/>
      <c r="S164" s="41"/>
      <c r="T164" s="41"/>
      <c r="U164" s="40">
        <v>9259.77</v>
      </c>
      <c r="V164" s="40">
        <f t="shared" si="95"/>
        <v>9537.5631000000012</v>
      </c>
      <c r="W164" s="42">
        <f t="shared" si="96"/>
        <v>18951.264732</v>
      </c>
      <c r="X164" s="40">
        <f t="shared" si="97"/>
        <v>6088.9195799999998</v>
      </c>
      <c r="Y164" s="42">
        <f t="shared" si="98"/>
        <v>79.593720000000005</v>
      </c>
      <c r="Z164" s="42">
        <f t="shared" si="99"/>
        <v>114251.061132</v>
      </c>
      <c r="AC164" s="5"/>
      <c r="AD164" s="5"/>
      <c r="AE164" s="5"/>
    </row>
    <row r="165" spans="1:31" ht="14.25" customHeight="1">
      <c r="A165" t="s">
        <v>215</v>
      </c>
      <c r="B165" t="s">
        <v>48</v>
      </c>
      <c r="D165" s="36" t="s">
        <v>216</v>
      </c>
      <c r="E165" s="37" t="s">
        <v>226</v>
      </c>
      <c r="F165" s="38">
        <f t="shared" si="100"/>
        <v>90817.9</v>
      </c>
      <c r="G165" s="39" t="s">
        <v>51</v>
      </c>
      <c r="H165" s="39">
        <v>20</v>
      </c>
      <c r="I165" s="39">
        <v>210</v>
      </c>
      <c r="J165" s="40"/>
      <c r="K165" s="40">
        <v>71568</v>
      </c>
      <c r="L165" s="40">
        <v>75847.399999999994</v>
      </c>
      <c r="M165" s="40"/>
      <c r="N165" s="178">
        <v>79317.899999999994</v>
      </c>
      <c r="O165" s="40">
        <v>7500</v>
      </c>
      <c r="P165" s="185">
        <v>4000</v>
      </c>
      <c r="Q165" s="41"/>
      <c r="R165" s="41"/>
      <c r="S165" s="41"/>
      <c r="T165" s="41"/>
      <c r="U165" s="40">
        <v>4770.78</v>
      </c>
      <c r="V165" s="40">
        <f t="shared" si="95"/>
        <v>4913.9034000000001</v>
      </c>
      <c r="W165" s="42">
        <f t="shared" si="96"/>
        <v>21623.741989999999</v>
      </c>
      <c r="X165" s="40">
        <f t="shared" si="97"/>
        <v>6947.5693499999998</v>
      </c>
      <c r="Y165" s="42">
        <f t="shared" si="98"/>
        <v>90.817899999999995</v>
      </c>
      <c r="Z165" s="42">
        <f t="shared" si="99"/>
        <v>124393.93263999998</v>
      </c>
      <c r="AA165" t="s">
        <v>227</v>
      </c>
      <c r="AC165" s="5"/>
      <c r="AD165" s="5"/>
      <c r="AE165" s="5"/>
    </row>
    <row r="166" spans="1:31" ht="14.25" customHeight="1">
      <c r="A166" t="s">
        <v>215</v>
      </c>
      <c r="B166" t="s">
        <v>48</v>
      </c>
      <c r="D166" s="36" t="s">
        <v>216</v>
      </c>
      <c r="E166" s="37" t="s">
        <v>530</v>
      </c>
      <c r="F166" s="38">
        <f t="shared" si="100"/>
        <v>70380.070000000007</v>
      </c>
      <c r="G166" s="146" t="s">
        <v>51</v>
      </c>
      <c r="H166" s="39">
        <v>9</v>
      </c>
      <c r="I166" s="39">
        <v>210</v>
      </c>
      <c r="J166" s="38"/>
      <c r="K166" s="186">
        <v>59606.84</v>
      </c>
      <c r="L166" s="186">
        <v>62321.49</v>
      </c>
      <c r="M166" s="186"/>
      <c r="N166" s="178">
        <v>70380.070000000007</v>
      </c>
      <c r="O166" s="38"/>
      <c r="P166" s="38"/>
      <c r="Q166" s="38"/>
      <c r="R166" s="38"/>
      <c r="S166" s="38"/>
      <c r="T166" s="38"/>
      <c r="U166" s="178">
        <v>9259.77</v>
      </c>
      <c r="V166" s="40">
        <f t="shared" si="95"/>
        <v>9537.5631000000012</v>
      </c>
      <c r="W166" s="42">
        <f t="shared" si="96"/>
        <v>16757.494667000003</v>
      </c>
      <c r="X166" s="178">
        <f t="shared" si="97"/>
        <v>5384.0753550000009</v>
      </c>
      <c r="Y166" s="187">
        <f t="shared" si="98"/>
        <v>70.380070000000003</v>
      </c>
      <c r="Z166" s="187">
        <f t="shared" si="99"/>
        <v>102129.58319200002</v>
      </c>
      <c r="AC166" s="5"/>
      <c r="AD166" s="5"/>
      <c r="AE166" s="5"/>
    </row>
    <row r="167" spans="1:31" ht="14.25" customHeight="1">
      <c r="D167" s="36"/>
      <c r="E167" s="137" t="s">
        <v>183</v>
      </c>
      <c r="F167" s="138">
        <f>SUM(F158:F166)</f>
        <v>678300.07000000007</v>
      </c>
      <c r="G167" s="138">
        <f t="shared" ref="G167:N167" si="101">SUM(G158:G166)</f>
        <v>0</v>
      </c>
      <c r="H167" s="138">
        <f t="shared" si="101"/>
        <v>153</v>
      </c>
      <c r="I167" s="138">
        <f t="shared" si="101"/>
        <v>1920</v>
      </c>
      <c r="J167" s="138">
        <f t="shared" si="101"/>
        <v>0</v>
      </c>
      <c r="K167" s="138">
        <f t="shared" si="101"/>
        <v>585852.76</v>
      </c>
      <c r="L167" s="138">
        <f t="shared" si="101"/>
        <v>630607.4</v>
      </c>
      <c r="M167" s="138"/>
      <c r="N167" s="138">
        <f t="shared" si="101"/>
        <v>666300.07000000007</v>
      </c>
      <c r="O167" s="138">
        <f t="shared" ref="O167:Z167" si="102">SUM(O158:O166)</f>
        <v>7500</v>
      </c>
      <c r="P167" s="138">
        <f t="shared" si="102"/>
        <v>4000</v>
      </c>
      <c r="Q167" s="138">
        <f t="shared" si="102"/>
        <v>0</v>
      </c>
      <c r="R167" s="138">
        <f t="shared" si="102"/>
        <v>0</v>
      </c>
      <c r="S167" s="138">
        <f t="shared" si="102"/>
        <v>500</v>
      </c>
      <c r="T167" s="138">
        <f t="shared" si="102"/>
        <v>0</v>
      </c>
      <c r="U167" s="138">
        <f t="shared" si="102"/>
        <v>50644.22</v>
      </c>
      <c r="V167" s="138">
        <f t="shared" si="102"/>
        <v>52163.546600000001</v>
      </c>
      <c r="W167" s="138">
        <f t="shared" si="102"/>
        <v>161503.24666699997</v>
      </c>
      <c r="X167" s="138">
        <f t="shared" si="102"/>
        <v>51889.955355000006</v>
      </c>
      <c r="Y167" s="138">
        <f t="shared" si="102"/>
        <v>678.30007000000001</v>
      </c>
      <c r="Z167" s="138">
        <f t="shared" si="102"/>
        <v>944535.11869200005</v>
      </c>
      <c r="AC167" s="5"/>
      <c r="AD167" s="5"/>
      <c r="AE167" s="5"/>
    </row>
    <row r="168" spans="1:31" ht="14.25" customHeight="1">
      <c r="A168" s="1"/>
      <c r="B168" s="1"/>
      <c r="C168" s="1"/>
      <c r="D168" s="36"/>
      <c r="E168" s="156"/>
      <c r="F168" s="38"/>
      <c r="G168" s="39"/>
      <c r="H168" s="39"/>
      <c r="I168" s="39"/>
      <c r="J168" s="40"/>
      <c r="K168" s="40"/>
      <c r="L168" s="40"/>
      <c r="M168" s="40"/>
      <c r="N168" s="40"/>
      <c r="O168" s="41"/>
      <c r="P168" s="41"/>
      <c r="Q168" s="41"/>
      <c r="R168" s="41"/>
      <c r="S168" s="41"/>
      <c r="T168" s="41"/>
      <c r="U168" s="40"/>
      <c r="V168" s="40"/>
      <c r="W168" s="42"/>
      <c r="X168" s="40"/>
      <c r="Y168" s="42"/>
      <c r="Z168" s="42"/>
      <c r="AC168" s="5"/>
      <c r="AD168" s="5"/>
      <c r="AE168" s="5"/>
    </row>
    <row r="169" spans="1:31" ht="14.25" customHeight="1">
      <c r="A169" t="s">
        <v>228</v>
      </c>
      <c r="B169" t="s">
        <v>48</v>
      </c>
      <c r="D169" s="36" t="s">
        <v>229</v>
      </c>
      <c r="E169" s="37" t="s">
        <v>230</v>
      </c>
      <c r="F169" s="38">
        <f>SUM(N169:T169)</f>
        <v>70816.800000000003</v>
      </c>
      <c r="G169" s="39" t="s">
        <v>231</v>
      </c>
      <c r="H169" s="39">
        <v>31</v>
      </c>
      <c r="I169" s="39">
        <v>190</v>
      </c>
      <c r="J169" s="40"/>
      <c r="K169" s="40">
        <v>61180</v>
      </c>
      <c r="L169" s="177">
        <v>63748.800000000003</v>
      </c>
      <c r="M169" s="177"/>
      <c r="N169" s="178">
        <v>70816.800000000003</v>
      </c>
      <c r="O169" s="41"/>
      <c r="P169" s="41"/>
      <c r="Q169" s="41"/>
      <c r="R169" s="41"/>
      <c r="S169" s="41"/>
      <c r="T169" s="41"/>
      <c r="U169" s="40">
        <v>7218.85</v>
      </c>
      <c r="V169" s="40">
        <f t="shared" ref="V169:V170" si="103">+U169*1.03</f>
        <v>7435.415500000001</v>
      </c>
      <c r="W169" s="42">
        <f>+(F169)*0.2381</f>
        <v>16861.480080000001</v>
      </c>
      <c r="X169" s="40">
        <f>F169*0.0765</f>
        <v>5417.4852000000001</v>
      </c>
      <c r="Y169" s="42">
        <f>F169*0.001</f>
        <v>70.816800000000001</v>
      </c>
      <c r="Z169" s="42">
        <f>F169+SUM(V169:Y169)</f>
        <v>100601.99758000001</v>
      </c>
      <c r="AC169" s="5"/>
      <c r="AD169" s="5"/>
      <c r="AE169" s="5"/>
    </row>
    <row r="170" spans="1:31" ht="14.25" customHeight="1">
      <c r="A170" t="s">
        <v>228</v>
      </c>
      <c r="B170" t="s">
        <v>48</v>
      </c>
      <c r="D170" s="36" t="s">
        <v>229</v>
      </c>
      <c r="E170" s="37" t="s">
        <v>232</v>
      </c>
      <c r="F170" s="38">
        <f>SUM(N170:T170)</f>
        <v>54902.400000000001</v>
      </c>
      <c r="G170" s="39" t="s">
        <v>231</v>
      </c>
      <c r="H170" s="39">
        <v>14</v>
      </c>
      <c r="I170" s="39">
        <v>190</v>
      </c>
      <c r="J170" s="40"/>
      <c r="K170" s="40">
        <v>48822.400000000001</v>
      </c>
      <c r="L170" s="177">
        <v>51740.800000000003</v>
      </c>
      <c r="M170" s="177"/>
      <c r="N170" s="178">
        <v>54902.400000000001</v>
      </c>
      <c r="O170" s="41"/>
      <c r="P170" s="41"/>
      <c r="Q170" s="41"/>
      <c r="R170" s="41"/>
      <c r="S170" s="41"/>
      <c r="T170" s="41"/>
      <c r="U170" s="40">
        <v>4770.78</v>
      </c>
      <c r="V170" s="40">
        <f t="shared" si="103"/>
        <v>4913.9034000000001</v>
      </c>
      <c r="W170" s="42">
        <f>+(F170)*0.2381</f>
        <v>13072.26144</v>
      </c>
      <c r="X170" s="40">
        <f>F170*0.0765</f>
        <v>4200.0335999999998</v>
      </c>
      <c r="Y170" s="42">
        <f>F170*0.001</f>
        <v>54.9024</v>
      </c>
      <c r="Z170" s="42">
        <f>F170+SUM(V170:Y170)</f>
        <v>77143.500839999993</v>
      </c>
      <c r="AC170" s="5"/>
      <c r="AD170" s="5"/>
      <c r="AE170" s="5"/>
    </row>
    <row r="171" spans="1:31" ht="14.25" customHeight="1">
      <c r="D171" s="36"/>
      <c r="E171" s="137" t="s">
        <v>117</v>
      </c>
      <c r="F171" s="138">
        <f>SUM(F169:F170)</f>
        <v>125719.20000000001</v>
      </c>
      <c r="G171" s="138">
        <f t="shared" ref="G171:N171" si="104">SUM(G169:G170)</f>
        <v>0</v>
      </c>
      <c r="H171" s="138">
        <f t="shared" si="104"/>
        <v>45</v>
      </c>
      <c r="I171" s="138">
        <f t="shared" si="104"/>
        <v>380</v>
      </c>
      <c r="J171" s="138">
        <f t="shared" si="104"/>
        <v>0</v>
      </c>
      <c r="K171" s="138">
        <f t="shared" si="104"/>
        <v>110002.4</v>
      </c>
      <c r="L171" s="138">
        <f t="shared" si="104"/>
        <v>115489.60000000001</v>
      </c>
      <c r="M171" s="177"/>
      <c r="N171" s="138">
        <f t="shared" si="104"/>
        <v>125719.20000000001</v>
      </c>
      <c r="O171" s="138">
        <f t="shared" ref="O171:Z171" si="105">SUM(O169:O170)</f>
        <v>0</v>
      </c>
      <c r="P171" s="138">
        <f t="shared" si="105"/>
        <v>0</v>
      </c>
      <c r="Q171" s="138">
        <f t="shared" si="105"/>
        <v>0</v>
      </c>
      <c r="R171" s="138">
        <f t="shared" si="105"/>
        <v>0</v>
      </c>
      <c r="S171" s="138">
        <f t="shared" si="105"/>
        <v>0</v>
      </c>
      <c r="T171" s="138">
        <f t="shared" si="105"/>
        <v>0</v>
      </c>
      <c r="U171" s="138">
        <f t="shared" si="105"/>
        <v>11989.630000000001</v>
      </c>
      <c r="V171" s="138">
        <f t="shared" si="105"/>
        <v>12349.318900000002</v>
      </c>
      <c r="W171" s="138">
        <f t="shared" si="105"/>
        <v>29933.741520000003</v>
      </c>
      <c r="X171" s="138">
        <f t="shared" si="105"/>
        <v>9617.5187999999998</v>
      </c>
      <c r="Y171" s="138">
        <f t="shared" si="105"/>
        <v>125.7192</v>
      </c>
      <c r="Z171" s="138">
        <f t="shared" si="105"/>
        <v>177745.49842000002</v>
      </c>
      <c r="AC171" s="5"/>
      <c r="AD171" s="5"/>
      <c r="AE171" s="5"/>
    </row>
    <row r="172" spans="1:31" ht="14.25" customHeight="1">
      <c r="A172" s="1"/>
      <c r="B172" s="1"/>
      <c r="C172" s="1"/>
      <c r="D172" s="36"/>
      <c r="E172" s="156">
        <v>2</v>
      </c>
      <c r="F172" s="38"/>
      <c r="G172" s="39"/>
      <c r="H172" s="39"/>
      <c r="I172" s="39"/>
      <c r="J172" s="40"/>
      <c r="K172" s="40"/>
      <c r="L172" s="40"/>
      <c r="M172" s="40"/>
      <c r="N172" s="40"/>
      <c r="O172" s="41"/>
      <c r="P172" s="41"/>
      <c r="Q172" s="41"/>
      <c r="R172" s="41"/>
      <c r="S172" s="41"/>
      <c r="T172" s="41"/>
      <c r="U172" s="40"/>
      <c r="V172" s="40"/>
      <c r="W172" s="42"/>
      <c r="X172" s="40"/>
      <c r="Y172" s="42"/>
      <c r="Z172" s="42"/>
      <c r="AC172" s="5"/>
      <c r="AD172" s="5"/>
      <c r="AE172" s="5"/>
    </row>
    <row r="173" spans="1:31" ht="14.25" customHeight="1">
      <c r="A173" t="s">
        <v>233</v>
      </c>
      <c r="B173" t="s">
        <v>48</v>
      </c>
      <c r="D173" s="36" t="s">
        <v>234</v>
      </c>
      <c r="E173" s="153" t="s">
        <v>523</v>
      </c>
      <c r="F173" s="38">
        <f>SUM(N173:T173)</f>
        <v>76353.48</v>
      </c>
      <c r="G173" s="39" t="s">
        <v>56</v>
      </c>
      <c r="H173" s="39">
        <v>15</v>
      </c>
      <c r="I173" s="39">
        <v>190</v>
      </c>
      <c r="J173" s="40"/>
      <c r="K173" s="40">
        <v>63596.800000000003</v>
      </c>
      <c r="L173" s="40">
        <v>67547.55</v>
      </c>
      <c r="M173" s="40"/>
      <c r="N173" s="180">
        <v>76353.48</v>
      </c>
      <c r="O173" s="40"/>
      <c r="P173" s="164"/>
      <c r="Q173" s="1"/>
      <c r="R173" s="1"/>
      <c r="S173" s="164"/>
      <c r="T173" s="164"/>
      <c r="U173" s="40">
        <v>9529.77</v>
      </c>
      <c r="V173" s="40">
        <f t="shared" ref="V173:V174" si="106">+U173*1.03</f>
        <v>9815.6631000000016</v>
      </c>
      <c r="W173" s="42">
        <f>+(F173)*0.2381</f>
        <v>18179.763587999998</v>
      </c>
      <c r="X173" s="40">
        <f>F173*0.0765</f>
        <v>5841.0412199999992</v>
      </c>
      <c r="Y173" s="42">
        <f>F173*0.001</f>
        <v>76.35347999999999</v>
      </c>
      <c r="Z173" s="42">
        <f>F173+SUM(V173:Y173)</f>
        <v>110266.30138799999</v>
      </c>
      <c r="AC173" s="5"/>
      <c r="AD173" s="5"/>
      <c r="AE173" s="5"/>
    </row>
    <row r="174" spans="1:31" ht="14.25" customHeight="1">
      <c r="A174" t="s">
        <v>233</v>
      </c>
      <c r="B174" t="s">
        <v>48</v>
      </c>
      <c r="D174" s="36" t="s">
        <v>234</v>
      </c>
      <c r="E174" s="206" t="s">
        <v>235</v>
      </c>
      <c r="F174" s="38">
        <f>SUM(N174:T174)</f>
        <v>80353.919999999998</v>
      </c>
      <c r="G174" s="39" t="s">
        <v>51</v>
      </c>
      <c r="H174" s="39">
        <v>21</v>
      </c>
      <c r="I174" s="39">
        <v>195</v>
      </c>
      <c r="J174" s="40"/>
      <c r="K174" s="40">
        <v>65846.399999999994</v>
      </c>
      <c r="L174" s="40">
        <v>71599.7</v>
      </c>
      <c r="M174" s="40"/>
      <c r="N174" s="178">
        <v>74853.919999999998</v>
      </c>
      <c r="O174" s="41"/>
      <c r="P174" s="40">
        <v>4000</v>
      </c>
      <c r="Q174" s="41"/>
      <c r="R174" s="41"/>
      <c r="S174" s="132">
        <v>500</v>
      </c>
      <c r="T174" s="41">
        <v>1000</v>
      </c>
      <c r="U174" s="40">
        <v>0</v>
      </c>
      <c r="V174" s="40">
        <f t="shared" si="106"/>
        <v>0</v>
      </c>
      <c r="W174" s="42">
        <f>+(F174)*0.2381</f>
        <v>19132.268351999999</v>
      </c>
      <c r="X174" s="40">
        <f>F174*0.0765</f>
        <v>6147.0748800000001</v>
      </c>
      <c r="Y174" s="42">
        <f>F174*0.001</f>
        <v>80.353920000000002</v>
      </c>
      <c r="Z174" s="42">
        <f>F174+SUM(V174:Y174)</f>
        <v>105713.61715199999</v>
      </c>
      <c r="AC174" s="5"/>
      <c r="AD174" s="5"/>
      <c r="AE174" s="5"/>
    </row>
    <row r="175" spans="1:31" ht="14.25" customHeight="1">
      <c r="D175" s="36"/>
      <c r="E175" s="137" t="s">
        <v>117</v>
      </c>
      <c r="F175" s="138">
        <f>SUM(F173:F174)</f>
        <v>156707.4</v>
      </c>
      <c r="G175" s="138">
        <f t="shared" ref="G175:N175" si="107">SUM(G173:G174)</f>
        <v>0</v>
      </c>
      <c r="H175" s="138">
        <f t="shared" si="107"/>
        <v>36</v>
      </c>
      <c r="I175" s="138">
        <f t="shared" si="107"/>
        <v>385</v>
      </c>
      <c r="J175" s="138">
        <f t="shared" si="107"/>
        <v>0</v>
      </c>
      <c r="K175" s="138">
        <f t="shared" si="107"/>
        <v>129443.2</v>
      </c>
      <c r="L175" s="138">
        <f t="shared" si="107"/>
        <v>139147.25</v>
      </c>
      <c r="M175" s="138"/>
      <c r="N175" s="138">
        <f t="shared" si="107"/>
        <v>151207.4</v>
      </c>
      <c r="O175" s="138">
        <f t="shared" ref="O175:Z175" si="108">SUM(O173:O174)</f>
        <v>0</v>
      </c>
      <c r="P175" s="138">
        <f t="shared" si="108"/>
        <v>4000</v>
      </c>
      <c r="Q175" s="138">
        <f t="shared" si="108"/>
        <v>0</v>
      </c>
      <c r="R175" s="138">
        <f t="shared" si="108"/>
        <v>0</v>
      </c>
      <c r="S175" s="138">
        <f t="shared" si="108"/>
        <v>500</v>
      </c>
      <c r="T175" s="138">
        <f t="shared" si="108"/>
        <v>1000</v>
      </c>
      <c r="U175" s="138">
        <f t="shared" si="108"/>
        <v>9529.77</v>
      </c>
      <c r="V175" s="138">
        <f t="shared" si="108"/>
        <v>9815.6631000000016</v>
      </c>
      <c r="W175" s="138">
        <f t="shared" si="108"/>
        <v>37312.031940000001</v>
      </c>
      <c r="X175" s="138">
        <f t="shared" si="108"/>
        <v>11988.116099999999</v>
      </c>
      <c r="Y175" s="138">
        <f t="shared" si="108"/>
        <v>156.70740000000001</v>
      </c>
      <c r="Z175" s="138">
        <f t="shared" si="108"/>
        <v>215979.91853999998</v>
      </c>
      <c r="AC175" s="5"/>
      <c r="AD175" s="5"/>
      <c r="AE175" s="5"/>
    </row>
    <row r="176" spans="1:31" ht="14.25" customHeight="1">
      <c r="A176" s="1"/>
      <c r="B176" s="1"/>
      <c r="C176" s="1"/>
      <c r="D176" s="36"/>
      <c r="E176" s="156"/>
      <c r="F176" s="38"/>
      <c r="G176" s="39"/>
      <c r="H176" s="39"/>
      <c r="I176" s="39"/>
      <c r="J176" s="40"/>
      <c r="K176" s="40"/>
      <c r="L176" s="40"/>
      <c r="M176" s="40"/>
      <c r="N176" s="40"/>
      <c r="O176" s="41"/>
      <c r="P176" s="40"/>
      <c r="Q176" s="41"/>
      <c r="R176" s="41"/>
      <c r="S176" s="41"/>
      <c r="T176" s="41"/>
      <c r="U176" s="40"/>
      <c r="V176" s="40"/>
      <c r="W176" s="42"/>
      <c r="X176" s="40"/>
      <c r="Y176" s="42"/>
      <c r="Z176" s="42"/>
      <c r="AC176" s="5"/>
      <c r="AD176" s="5"/>
      <c r="AE176" s="5"/>
    </row>
    <row r="177" spans="1:31" ht="14.25" customHeight="1">
      <c r="A177" t="s">
        <v>236</v>
      </c>
      <c r="B177" t="s">
        <v>48</v>
      </c>
      <c r="D177" s="36" t="s">
        <v>237</v>
      </c>
      <c r="E177" s="37" t="s">
        <v>238</v>
      </c>
      <c r="F177" s="38">
        <f>SUM(N177:T177)</f>
        <v>62227.199999999997</v>
      </c>
      <c r="G177" s="39" t="s">
        <v>239</v>
      </c>
      <c r="H177" s="39">
        <v>14</v>
      </c>
      <c r="I177" s="39">
        <v>210</v>
      </c>
      <c r="J177" s="40"/>
      <c r="K177" s="40">
        <v>55675.199999999997</v>
      </c>
      <c r="L177" s="177">
        <v>59757.599999999999</v>
      </c>
      <c r="M177" s="177"/>
      <c r="N177" s="178">
        <v>62227.199999999997</v>
      </c>
      <c r="O177" s="41"/>
      <c r="P177" s="41"/>
      <c r="Q177" s="41"/>
      <c r="R177" s="41"/>
      <c r="S177" s="41"/>
      <c r="T177" s="41"/>
      <c r="U177" s="40">
        <v>9259.768</v>
      </c>
      <c r="V177" s="40">
        <f t="shared" ref="V177:V178" si="109">+U177*1.03</f>
        <v>9537.5610400000005</v>
      </c>
      <c r="W177" s="42">
        <f>+(F177)*0.2381</f>
        <v>14816.296319999999</v>
      </c>
      <c r="X177" s="40">
        <f>F177*0.0765</f>
        <v>4760.3807999999999</v>
      </c>
      <c r="Y177" s="42">
        <f>F177*0.001</f>
        <v>62.227199999999996</v>
      </c>
      <c r="Z177" s="42">
        <f>F177+SUM(V177:Y177)</f>
        <v>91403.665359999999</v>
      </c>
      <c r="AC177" s="5"/>
      <c r="AD177" s="5"/>
      <c r="AE177" s="5"/>
    </row>
    <row r="178" spans="1:31" ht="14.25" customHeight="1">
      <c r="A178" t="s">
        <v>236</v>
      </c>
      <c r="B178" t="s">
        <v>48</v>
      </c>
      <c r="D178" s="36" t="s">
        <v>240</v>
      </c>
      <c r="E178" s="37" t="s">
        <v>241</v>
      </c>
      <c r="F178" s="38">
        <f>SUM(N178:T178)</f>
        <v>85958.399999999994</v>
      </c>
      <c r="G178" s="39" t="s">
        <v>242</v>
      </c>
      <c r="H178" s="39">
        <v>31</v>
      </c>
      <c r="I178" s="39">
        <v>240</v>
      </c>
      <c r="J178" s="40"/>
      <c r="K178" s="40">
        <v>75705.600000000006</v>
      </c>
      <c r="L178" s="177">
        <v>78892.800000000003</v>
      </c>
      <c r="M178" s="177"/>
      <c r="N178" s="178">
        <v>85958.399999999994</v>
      </c>
      <c r="O178" s="41"/>
      <c r="P178" s="41"/>
      <c r="Q178" s="41"/>
      <c r="R178" s="41"/>
      <c r="S178" s="41"/>
      <c r="T178" s="41"/>
      <c r="U178" s="40">
        <v>9259.768</v>
      </c>
      <c r="V178" s="40">
        <f t="shared" si="109"/>
        <v>9537.5610400000005</v>
      </c>
      <c r="W178" s="42">
        <f>+(F178)*0.2381</f>
        <v>20466.695039999999</v>
      </c>
      <c r="X178" s="40">
        <f>F178*0.0765</f>
        <v>6575.8175999999994</v>
      </c>
      <c r="Y178" s="42">
        <f>F178*0.001</f>
        <v>85.958399999999997</v>
      </c>
      <c r="Z178" s="42">
        <f>F178+SUM(V178:Y178)</f>
        <v>122624.43208</v>
      </c>
      <c r="AC178" s="5"/>
      <c r="AD178" s="5"/>
      <c r="AE178" s="5"/>
    </row>
    <row r="179" spans="1:31" ht="14.25" customHeight="1">
      <c r="D179" s="36"/>
      <c r="E179" s="137" t="s">
        <v>117</v>
      </c>
      <c r="F179" s="138">
        <f>SUM(F177:F178)</f>
        <v>148185.59999999998</v>
      </c>
      <c r="G179" s="138">
        <f t="shared" ref="G179:N179" si="110">SUM(G177:G178)</f>
        <v>0</v>
      </c>
      <c r="H179" s="138">
        <f t="shared" si="110"/>
        <v>45</v>
      </c>
      <c r="I179" s="138">
        <f t="shared" si="110"/>
        <v>450</v>
      </c>
      <c r="J179" s="138">
        <f t="shared" si="110"/>
        <v>0</v>
      </c>
      <c r="K179" s="138">
        <f t="shared" si="110"/>
        <v>131380.79999999999</v>
      </c>
      <c r="L179" s="138">
        <f t="shared" si="110"/>
        <v>138650.4</v>
      </c>
      <c r="M179" s="138"/>
      <c r="N179" s="138">
        <f t="shared" si="110"/>
        <v>148185.59999999998</v>
      </c>
      <c r="O179" s="138">
        <f t="shared" ref="O179:Z179" si="111">SUM(O177:O178)</f>
        <v>0</v>
      </c>
      <c r="P179" s="138">
        <f t="shared" si="111"/>
        <v>0</v>
      </c>
      <c r="Q179" s="138">
        <f t="shared" si="111"/>
        <v>0</v>
      </c>
      <c r="R179" s="138">
        <f t="shared" si="111"/>
        <v>0</v>
      </c>
      <c r="S179" s="138">
        <f t="shared" si="111"/>
        <v>0</v>
      </c>
      <c r="T179" s="138">
        <f t="shared" si="111"/>
        <v>0</v>
      </c>
      <c r="U179" s="138">
        <f t="shared" si="111"/>
        <v>18519.536</v>
      </c>
      <c r="V179" s="138">
        <f t="shared" si="111"/>
        <v>19075.122080000001</v>
      </c>
      <c r="W179" s="138">
        <f t="shared" si="111"/>
        <v>35282.99136</v>
      </c>
      <c r="X179" s="138">
        <f t="shared" si="111"/>
        <v>11336.198399999999</v>
      </c>
      <c r="Y179" s="138">
        <f t="shared" si="111"/>
        <v>148.18559999999999</v>
      </c>
      <c r="Z179" s="138">
        <f t="shared" si="111"/>
        <v>214028.09743999998</v>
      </c>
      <c r="AC179" s="5"/>
      <c r="AD179" s="5"/>
      <c r="AE179" s="5"/>
    </row>
    <row r="180" spans="1:31" ht="14.25" customHeight="1">
      <c r="A180" s="1"/>
      <c r="B180" s="1"/>
      <c r="C180" s="1"/>
      <c r="D180" s="188"/>
      <c r="E180" s="156"/>
      <c r="F180" s="38"/>
      <c r="G180" s="39"/>
      <c r="H180" s="39"/>
      <c r="I180" s="39"/>
      <c r="J180" s="40"/>
      <c r="K180" s="40"/>
      <c r="L180" s="40"/>
      <c r="M180" s="40"/>
      <c r="N180" s="40"/>
      <c r="O180" s="41"/>
      <c r="P180" s="41"/>
      <c r="Q180" s="41"/>
      <c r="R180" s="41"/>
      <c r="S180" s="41"/>
      <c r="T180" s="132"/>
      <c r="U180" s="40"/>
      <c r="V180" s="40"/>
      <c r="W180" s="42"/>
      <c r="X180" s="40"/>
      <c r="Y180" s="42"/>
      <c r="Z180" s="42"/>
      <c r="AC180" s="5"/>
      <c r="AD180" s="5"/>
      <c r="AE180" s="5"/>
    </row>
    <row r="181" spans="1:31" ht="14.25" customHeight="1">
      <c r="A181" s="1" t="s">
        <v>215</v>
      </c>
      <c r="B181" t="s">
        <v>48</v>
      </c>
      <c r="D181" s="188" t="s">
        <v>243</v>
      </c>
      <c r="E181" s="147" t="s">
        <v>244</v>
      </c>
      <c r="F181" s="38">
        <f>SUM(N181:T181)</f>
        <v>30096</v>
      </c>
      <c r="G181" s="39" t="s">
        <v>150</v>
      </c>
      <c r="H181" s="39">
        <v>11</v>
      </c>
      <c r="I181" s="39">
        <v>190</v>
      </c>
      <c r="J181" s="40"/>
      <c r="K181" s="38">
        <v>26417.599999999999</v>
      </c>
      <c r="L181" s="177">
        <v>28849.599999999999</v>
      </c>
      <c r="M181" s="177">
        <v>18.98</v>
      </c>
      <c r="N181" s="178">
        <v>30096</v>
      </c>
      <c r="O181" s="41"/>
      <c r="P181" s="41"/>
      <c r="Q181" s="41"/>
      <c r="R181" s="41"/>
      <c r="S181" s="41"/>
      <c r="T181" s="41"/>
      <c r="U181" s="40">
        <v>7218.848</v>
      </c>
      <c r="V181" s="40">
        <f t="shared" ref="V181:V184" si="112">+U181*1.03</f>
        <v>7435.4134400000003</v>
      </c>
      <c r="W181" s="42">
        <f>+(F181)*0.2381</f>
        <v>7165.8576000000003</v>
      </c>
      <c r="X181" s="40">
        <f>F181*0.0765</f>
        <v>2302.3440000000001</v>
      </c>
      <c r="Y181" s="42">
        <f>F181*0.001</f>
        <v>30.096</v>
      </c>
      <c r="Z181" s="42">
        <f>F181+SUM(V181:Y181)</f>
        <v>47029.711040000002</v>
      </c>
      <c r="AC181" s="5"/>
      <c r="AD181" s="5"/>
      <c r="AE181" s="5"/>
    </row>
    <row r="182" spans="1:31" ht="14.25" customHeight="1">
      <c r="A182" s="1" t="s">
        <v>221</v>
      </c>
      <c r="B182" t="s">
        <v>48</v>
      </c>
      <c r="D182" s="188" t="s">
        <v>243</v>
      </c>
      <c r="E182" s="147" t="s">
        <v>245</v>
      </c>
      <c r="F182" s="38">
        <f>SUM(N182:T182)</f>
        <v>36632</v>
      </c>
      <c r="G182" s="146" t="s">
        <v>150</v>
      </c>
      <c r="H182" s="189">
        <v>22</v>
      </c>
      <c r="I182" s="189">
        <v>190</v>
      </c>
      <c r="J182" s="38"/>
      <c r="K182" s="38">
        <v>32254.400000000001</v>
      </c>
      <c r="L182" s="177">
        <v>35218.400000000001</v>
      </c>
      <c r="M182" s="177">
        <v>23.17</v>
      </c>
      <c r="N182" s="178">
        <v>36632</v>
      </c>
      <c r="O182" s="40"/>
      <c r="P182" s="40"/>
      <c r="Q182" s="41"/>
      <c r="R182" s="41"/>
      <c r="S182" s="41"/>
      <c r="T182" s="41"/>
      <c r="U182" s="40">
        <v>7218.848</v>
      </c>
      <c r="V182" s="40">
        <f t="shared" si="112"/>
        <v>7435.4134400000003</v>
      </c>
      <c r="W182" s="42">
        <f>+(F182)*0.2381</f>
        <v>8722.0792000000001</v>
      </c>
      <c r="X182" s="40">
        <f>F182*0.0765</f>
        <v>2802.348</v>
      </c>
      <c r="Y182" s="42">
        <f>F182*0.001</f>
        <v>36.631999999999998</v>
      </c>
      <c r="Z182" s="42">
        <f>F182+SUM(V182:Y182)</f>
        <v>55628.472640000007</v>
      </c>
      <c r="AC182" s="5"/>
      <c r="AD182" s="5"/>
      <c r="AE182" s="5"/>
    </row>
    <row r="183" spans="1:31" ht="14.25" customHeight="1">
      <c r="A183" s="1" t="s">
        <v>246</v>
      </c>
      <c r="B183" t="s">
        <v>48</v>
      </c>
      <c r="D183" s="188" t="s">
        <v>243</v>
      </c>
      <c r="E183" s="147" t="s">
        <v>247</v>
      </c>
      <c r="F183" s="38">
        <f>SUM(N183:T183)</f>
        <v>27846.400000000001</v>
      </c>
      <c r="G183" s="39" t="s">
        <v>150</v>
      </c>
      <c r="H183" s="39">
        <v>7</v>
      </c>
      <c r="I183" s="39">
        <v>190</v>
      </c>
      <c r="J183" s="40"/>
      <c r="K183" s="40">
        <v>24380.799999999999</v>
      </c>
      <c r="L183" s="177">
        <v>26676</v>
      </c>
      <c r="M183" s="177">
        <v>17.55</v>
      </c>
      <c r="N183" s="178">
        <v>27846.400000000001</v>
      </c>
      <c r="O183" s="40"/>
      <c r="P183" s="40"/>
      <c r="Q183" s="40"/>
      <c r="R183" s="40"/>
      <c r="S183" s="40"/>
      <c r="T183" s="40"/>
      <c r="U183" s="40">
        <v>4770.78</v>
      </c>
      <c r="V183" s="40">
        <f t="shared" si="112"/>
        <v>4913.9034000000001</v>
      </c>
      <c r="W183" s="42">
        <f>+(F183)*0.2381</f>
        <v>6630.2278400000005</v>
      </c>
      <c r="X183" s="40">
        <f>F183*0.0765</f>
        <v>2130.2496000000001</v>
      </c>
      <c r="Y183" s="42">
        <f>F183*0.001</f>
        <v>27.846400000000003</v>
      </c>
      <c r="Z183" s="42">
        <f>F183+SUM(V183:Y183)</f>
        <v>41548.627240000002</v>
      </c>
      <c r="AC183" s="5"/>
      <c r="AD183" s="5"/>
      <c r="AE183" s="5"/>
    </row>
    <row r="184" spans="1:31" ht="14.25" customHeight="1">
      <c r="A184" s="1" t="s">
        <v>248</v>
      </c>
      <c r="B184" t="s">
        <v>48</v>
      </c>
      <c r="D184" s="188" t="s">
        <v>243</v>
      </c>
      <c r="E184" s="147" t="s">
        <v>249</v>
      </c>
      <c r="F184" s="38">
        <f>SUM(N184:T184)</f>
        <v>32376</v>
      </c>
      <c r="G184" s="39" t="s">
        <v>150</v>
      </c>
      <c r="H184" s="39">
        <v>15</v>
      </c>
      <c r="I184" s="39">
        <v>190</v>
      </c>
      <c r="J184" s="38"/>
      <c r="K184" s="38">
        <v>28439.200000000001</v>
      </c>
      <c r="L184" s="177">
        <v>31068.799999999999</v>
      </c>
      <c r="M184" s="177">
        <v>20.440000000000001</v>
      </c>
      <c r="N184" s="178">
        <v>32376</v>
      </c>
      <c r="O184" s="41"/>
      <c r="P184" s="41"/>
      <c r="Q184" s="41"/>
      <c r="R184" s="41"/>
      <c r="S184" s="41"/>
      <c r="T184" s="41"/>
      <c r="U184" s="40">
        <v>7218.848</v>
      </c>
      <c r="V184" s="40">
        <f t="shared" si="112"/>
        <v>7435.4134400000003</v>
      </c>
      <c r="W184" s="42">
        <f>+(F184)*0.2381</f>
        <v>7708.7255999999998</v>
      </c>
      <c r="X184" s="40">
        <f>F184*0.0765</f>
        <v>2476.7640000000001</v>
      </c>
      <c r="Y184" s="42">
        <f>F184*0.001</f>
        <v>32.375999999999998</v>
      </c>
      <c r="Z184" s="42">
        <f>F184+SUM(V184:Y184)</f>
        <v>50029.279040000001</v>
      </c>
      <c r="AC184" s="5"/>
      <c r="AD184" s="5"/>
      <c r="AE184" s="5"/>
    </row>
    <row r="185" spans="1:31" ht="14.25" customHeight="1">
      <c r="A185" s="190" t="s">
        <v>248</v>
      </c>
      <c r="B185" t="s">
        <v>48</v>
      </c>
      <c r="D185" s="188" t="s">
        <v>243</v>
      </c>
      <c r="E185" s="37" t="s">
        <v>250</v>
      </c>
      <c r="F185" s="38">
        <f>SUM(N185:T185)</f>
        <v>40994.400000000001</v>
      </c>
      <c r="G185" s="39" t="s">
        <v>150</v>
      </c>
      <c r="H185" s="39">
        <v>30</v>
      </c>
      <c r="I185" s="38">
        <v>190</v>
      </c>
      <c r="J185" s="38"/>
      <c r="K185" s="38">
        <v>37589.599999999999</v>
      </c>
      <c r="L185" s="38">
        <v>37589.599999999999</v>
      </c>
      <c r="M185" s="38">
        <v>24.73</v>
      </c>
      <c r="N185" s="180">
        <v>40994.400000000001</v>
      </c>
      <c r="O185" s="38"/>
      <c r="P185" s="38"/>
      <c r="Q185" s="38"/>
      <c r="R185" s="38"/>
      <c r="S185" s="38"/>
      <c r="T185" s="38"/>
      <c r="U185" s="40">
        <v>7219.848</v>
      </c>
      <c r="V185" s="40">
        <f t="shared" ref="V185" si="113">+U185*1.03</f>
        <v>7436.44344</v>
      </c>
      <c r="W185" s="42">
        <f>+(F185)*0.2381</f>
        <v>9760.7666399999998</v>
      </c>
      <c r="X185" s="40">
        <f>F185*0.0765</f>
        <v>3136.0716000000002</v>
      </c>
      <c r="Y185" s="42">
        <f>F185*0.001</f>
        <v>40.994399999999999</v>
      </c>
      <c r="Z185" s="42">
        <f>F185+SUM(V185:Y185)</f>
        <v>61368.676080000005</v>
      </c>
      <c r="AC185" s="5"/>
      <c r="AD185" s="5"/>
      <c r="AE185" s="5"/>
    </row>
    <row r="186" spans="1:31" ht="14.25" customHeight="1">
      <c r="D186" s="36"/>
      <c r="E186" s="137" t="s">
        <v>251</v>
      </c>
      <c r="F186" s="138">
        <f>SUM(F181:F185)</f>
        <v>167944.8</v>
      </c>
      <c r="G186" s="138">
        <f t="shared" ref="G186:N186" si="114">SUM(G181:G185)</f>
        <v>0</v>
      </c>
      <c r="H186" s="138">
        <f t="shared" si="114"/>
        <v>85</v>
      </c>
      <c r="I186" s="138">
        <f t="shared" si="114"/>
        <v>950</v>
      </c>
      <c r="J186" s="138">
        <f t="shared" si="114"/>
        <v>0</v>
      </c>
      <c r="K186" s="138">
        <f t="shared" si="114"/>
        <v>149081.60000000001</v>
      </c>
      <c r="L186" s="138">
        <f t="shared" si="114"/>
        <v>159402.4</v>
      </c>
      <c r="M186" s="138">
        <f t="shared" si="114"/>
        <v>104.87</v>
      </c>
      <c r="N186" s="138">
        <f t="shared" si="114"/>
        <v>167944.8</v>
      </c>
      <c r="O186" s="138">
        <f t="shared" ref="O186:Z186" si="115">SUM(O181:O185)</f>
        <v>0</v>
      </c>
      <c r="P186" s="138">
        <f t="shared" si="115"/>
        <v>0</v>
      </c>
      <c r="Q186" s="138">
        <f t="shared" si="115"/>
        <v>0</v>
      </c>
      <c r="R186" s="138">
        <f t="shared" si="115"/>
        <v>0</v>
      </c>
      <c r="S186" s="138">
        <f t="shared" si="115"/>
        <v>0</v>
      </c>
      <c r="T186" s="138">
        <f t="shared" si="115"/>
        <v>0</v>
      </c>
      <c r="U186" s="138">
        <f>SUM(U181:U185)</f>
        <v>33647.171999999999</v>
      </c>
      <c r="V186" s="138">
        <f t="shared" si="115"/>
        <v>34656.587160000003</v>
      </c>
      <c r="W186" s="138">
        <f t="shared" si="115"/>
        <v>39987.656880000002</v>
      </c>
      <c r="X186" s="138">
        <f t="shared" si="115"/>
        <v>12847.7772</v>
      </c>
      <c r="Y186" s="138">
        <f t="shared" si="115"/>
        <v>167.94479999999999</v>
      </c>
      <c r="Z186" s="138">
        <f t="shared" si="115"/>
        <v>255604.76604000002</v>
      </c>
      <c r="AC186" s="5"/>
      <c r="AD186" s="5"/>
      <c r="AE186" s="5"/>
    </row>
    <row r="187" spans="1:31" ht="14.25" customHeight="1">
      <c r="A187" s="1"/>
      <c r="B187" s="1"/>
      <c r="C187" s="1"/>
      <c r="D187" s="36"/>
      <c r="E187" s="191"/>
      <c r="F187" s="138"/>
      <c r="G187" s="39"/>
      <c r="H187" s="39"/>
      <c r="I187" s="39"/>
      <c r="J187" s="138"/>
      <c r="K187" s="138"/>
      <c r="L187" s="138"/>
      <c r="M187" s="138"/>
      <c r="N187" s="40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C187" s="5"/>
      <c r="AD187" s="5"/>
      <c r="AE187" s="5"/>
    </row>
    <row r="188" spans="1:31" ht="14.25" customHeight="1">
      <c r="A188" t="s">
        <v>236</v>
      </c>
      <c r="B188" t="s">
        <v>252</v>
      </c>
      <c r="D188" s="36" t="s">
        <v>253</v>
      </c>
      <c r="E188" s="153" t="s">
        <v>97</v>
      </c>
      <c r="F188" s="38">
        <f t="shared" ref="F188:F193" si="116">SUM(N188:T188)</f>
        <v>95961.600000000006</v>
      </c>
      <c r="G188" s="39" t="s">
        <v>254</v>
      </c>
      <c r="H188" s="39">
        <v>9</v>
      </c>
      <c r="I188" s="39">
        <v>240</v>
      </c>
      <c r="J188" s="42"/>
      <c r="K188" s="40">
        <v>80006.399999999994</v>
      </c>
      <c r="L188" s="40">
        <v>85363.199999999997</v>
      </c>
      <c r="M188" s="40"/>
      <c r="N188" s="178">
        <v>95961.600000000006</v>
      </c>
      <c r="O188" s="42"/>
      <c r="P188" s="42"/>
      <c r="Q188" s="42"/>
      <c r="R188" s="42"/>
      <c r="S188" s="42"/>
      <c r="T188" s="42">
        <v>0</v>
      </c>
      <c r="U188" s="40">
        <v>4770.78</v>
      </c>
      <c r="V188" s="40">
        <f t="shared" ref="V188:V193" si="117">+U188*1.03</f>
        <v>4913.9034000000001</v>
      </c>
      <c r="W188" s="42">
        <f t="shared" ref="W188:W193" si="118">+(F188)*0.2381</f>
        <v>22848.456960000003</v>
      </c>
      <c r="X188" s="40">
        <f t="shared" ref="X188:X193" si="119">F188*0.0765</f>
        <v>7341.0624000000007</v>
      </c>
      <c r="Y188" s="42">
        <f t="shared" ref="Y188:Y193" si="120">F188*0.001</f>
        <v>95.961600000000004</v>
      </c>
      <c r="Z188" s="42">
        <f t="shared" ref="Z188:Z193" si="121">F188+SUM(V188:Y188)</f>
        <v>131160.98436</v>
      </c>
      <c r="AC188" s="5"/>
      <c r="AD188" s="5"/>
      <c r="AE188" s="5"/>
    </row>
    <row r="189" spans="1:31" ht="14.25" customHeight="1">
      <c r="A189" t="s">
        <v>236</v>
      </c>
      <c r="B189" t="s">
        <v>252</v>
      </c>
      <c r="D189" s="36" t="s">
        <v>253</v>
      </c>
      <c r="E189" s="110" t="s">
        <v>255</v>
      </c>
      <c r="F189" s="38">
        <f t="shared" si="116"/>
        <v>89088</v>
      </c>
      <c r="G189" s="39" t="s">
        <v>254</v>
      </c>
      <c r="H189" s="39">
        <v>9</v>
      </c>
      <c r="I189" s="39">
        <v>240</v>
      </c>
      <c r="J189" s="42"/>
      <c r="K189" s="40">
        <v>80006.399999999994</v>
      </c>
      <c r="L189" s="40">
        <v>85363.199999999997</v>
      </c>
      <c r="M189" s="40"/>
      <c r="N189" s="178">
        <v>89088</v>
      </c>
      <c r="O189" s="42"/>
      <c r="P189" s="42"/>
      <c r="Q189" s="42"/>
      <c r="R189" s="42"/>
      <c r="S189" s="42"/>
      <c r="T189" s="42"/>
      <c r="U189" s="40">
        <v>4770.78</v>
      </c>
      <c r="V189" s="40">
        <f t="shared" si="117"/>
        <v>4913.9034000000001</v>
      </c>
      <c r="W189" s="42">
        <f t="shared" si="118"/>
        <v>21211.852800000001</v>
      </c>
      <c r="X189" s="40">
        <f t="shared" si="119"/>
        <v>6815.232</v>
      </c>
      <c r="Y189" s="42">
        <f t="shared" si="120"/>
        <v>89.088000000000008</v>
      </c>
      <c r="Z189" s="42">
        <f t="shared" si="121"/>
        <v>122118.07620000001</v>
      </c>
      <c r="AC189" s="5"/>
      <c r="AD189" s="5"/>
      <c r="AE189" s="5"/>
    </row>
    <row r="190" spans="1:31" ht="14.25" customHeight="1">
      <c r="A190" t="s">
        <v>236</v>
      </c>
      <c r="B190" t="s">
        <v>252</v>
      </c>
      <c r="D190" s="36" t="s">
        <v>256</v>
      </c>
      <c r="E190" s="110" t="s">
        <v>257</v>
      </c>
      <c r="F190" s="38">
        <f t="shared" si="116"/>
        <v>107018.4</v>
      </c>
      <c r="G190" s="39" t="s">
        <v>254</v>
      </c>
      <c r="H190" s="39">
        <v>15</v>
      </c>
      <c r="I190" s="39">
        <v>240</v>
      </c>
      <c r="J190" s="40"/>
      <c r="K190" s="40">
        <v>89510.399999999994</v>
      </c>
      <c r="L190" s="40">
        <v>95481.600000000006</v>
      </c>
      <c r="M190" s="40"/>
      <c r="N190" s="178">
        <v>107018.4</v>
      </c>
      <c r="O190" s="41"/>
      <c r="P190" s="41"/>
      <c r="Q190" s="41"/>
      <c r="R190" s="41"/>
      <c r="S190" s="41"/>
      <c r="T190" s="41"/>
      <c r="U190" s="40">
        <v>4770.78</v>
      </c>
      <c r="V190" s="40">
        <f t="shared" si="117"/>
        <v>4913.9034000000001</v>
      </c>
      <c r="W190" s="42">
        <f t="shared" si="118"/>
        <v>25481.081040000001</v>
      </c>
      <c r="X190" s="40">
        <f t="shared" si="119"/>
        <v>8186.9075999999995</v>
      </c>
      <c r="Y190" s="42">
        <f t="shared" si="120"/>
        <v>107.0184</v>
      </c>
      <c r="Z190" s="42">
        <f t="shared" si="121"/>
        <v>145707.31044</v>
      </c>
      <c r="AC190" s="5"/>
      <c r="AD190" s="5"/>
      <c r="AE190" s="5"/>
    </row>
    <row r="191" spans="1:31" ht="14.25" customHeight="1">
      <c r="A191" s="1" t="s">
        <v>236</v>
      </c>
      <c r="B191" s="1" t="s">
        <v>252</v>
      </c>
      <c r="C191" s="1"/>
      <c r="D191" s="36" t="s">
        <v>258</v>
      </c>
      <c r="E191" s="110" t="s">
        <v>259</v>
      </c>
      <c r="F191" s="38">
        <f t="shared" si="116"/>
        <v>97689.600000000006</v>
      </c>
      <c r="G191" s="39" t="s">
        <v>254</v>
      </c>
      <c r="H191" s="39">
        <v>14</v>
      </c>
      <c r="I191" s="39">
        <v>240</v>
      </c>
      <c r="J191" s="40"/>
      <c r="K191" s="40">
        <v>87936</v>
      </c>
      <c r="L191" s="40">
        <v>93811.199999999997</v>
      </c>
      <c r="M191" s="40"/>
      <c r="N191" s="178">
        <v>97689.600000000006</v>
      </c>
      <c r="O191" s="41"/>
      <c r="P191" s="41"/>
      <c r="Q191" s="41"/>
      <c r="R191" s="41"/>
      <c r="S191" s="41"/>
      <c r="T191" s="41"/>
      <c r="U191" s="40">
        <v>4770.78</v>
      </c>
      <c r="V191" s="40">
        <f t="shared" si="117"/>
        <v>4913.9034000000001</v>
      </c>
      <c r="W191" s="42">
        <f t="shared" si="118"/>
        <v>23259.893760000003</v>
      </c>
      <c r="X191" s="40">
        <f t="shared" si="119"/>
        <v>7473.2544000000007</v>
      </c>
      <c r="Y191" s="42">
        <f t="shared" si="120"/>
        <v>97.689600000000013</v>
      </c>
      <c r="Z191" s="42">
        <f t="shared" si="121"/>
        <v>133434.34116000001</v>
      </c>
      <c r="AA191" s="1"/>
      <c r="AC191" s="5"/>
      <c r="AD191" s="5"/>
      <c r="AE191" s="5"/>
    </row>
    <row r="192" spans="1:31" ht="14.25" customHeight="1">
      <c r="A192" t="s">
        <v>236</v>
      </c>
      <c r="B192" t="s">
        <v>252</v>
      </c>
      <c r="D192" s="36" t="s">
        <v>258</v>
      </c>
      <c r="E192" s="110" t="s">
        <v>260</v>
      </c>
      <c r="F192" s="38">
        <f t="shared" si="116"/>
        <v>94233.600000000006</v>
      </c>
      <c r="G192" s="39" t="s">
        <v>254</v>
      </c>
      <c r="H192" s="39">
        <v>12</v>
      </c>
      <c r="I192" s="39">
        <v>240</v>
      </c>
      <c r="J192" s="40"/>
      <c r="K192" s="38">
        <v>84768</v>
      </c>
      <c r="L192" s="40">
        <v>90142.8</v>
      </c>
      <c r="M192" s="40"/>
      <c r="N192" s="178">
        <v>94233.600000000006</v>
      </c>
      <c r="O192" s="41"/>
      <c r="P192" s="41"/>
      <c r="Q192" s="41"/>
      <c r="R192" s="41"/>
      <c r="S192" s="41"/>
      <c r="T192" s="41"/>
      <c r="U192" s="40">
        <v>7343</v>
      </c>
      <c r="V192" s="40">
        <f t="shared" si="117"/>
        <v>7563.29</v>
      </c>
      <c r="W192" s="42">
        <f t="shared" si="118"/>
        <v>22437.020160000004</v>
      </c>
      <c r="X192" s="40">
        <f t="shared" si="119"/>
        <v>7208.8704000000007</v>
      </c>
      <c r="Y192" s="42">
        <f t="shared" si="120"/>
        <v>94.23360000000001</v>
      </c>
      <c r="Z192" s="42">
        <f t="shared" si="121"/>
        <v>131537.01416000002</v>
      </c>
      <c r="AC192" s="5"/>
      <c r="AD192" s="5"/>
      <c r="AE192" s="5"/>
    </row>
    <row r="193" spans="1:38" ht="14.25" customHeight="1">
      <c r="A193" t="s">
        <v>236</v>
      </c>
      <c r="B193" t="s">
        <v>252</v>
      </c>
      <c r="D193" s="36" t="s">
        <v>261</v>
      </c>
      <c r="E193" s="110" t="s">
        <v>262</v>
      </c>
      <c r="F193" s="38">
        <f t="shared" si="116"/>
        <v>148484.16</v>
      </c>
      <c r="G193" s="39" t="s">
        <v>263</v>
      </c>
      <c r="H193" s="39">
        <v>22</v>
      </c>
      <c r="I193" s="39">
        <v>240</v>
      </c>
      <c r="J193" s="40"/>
      <c r="K193" s="40">
        <v>125011.2</v>
      </c>
      <c r="L193" s="40">
        <v>132768</v>
      </c>
      <c r="M193" s="40"/>
      <c r="N193" s="178">
        <v>148484.16</v>
      </c>
      <c r="O193" s="41"/>
      <c r="P193" s="41"/>
      <c r="Q193" s="41"/>
      <c r="R193" s="41"/>
      <c r="S193" s="41"/>
      <c r="T193" s="41"/>
      <c r="U193" s="40">
        <v>11572.12</v>
      </c>
      <c r="V193" s="40">
        <f t="shared" si="117"/>
        <v>11919.283600000001</v>
      </c>
      <c r="W193" s="42">
        <f t="shared" si="118"/>
        <v>35354.078496000002</v>
      </c>
      <c r="X193" s="40">
        <f t="shared" si="119"/>
        <v>11359.03824</v>
      </c>
      <c r="Y193" s="42">
        <f t="shared" si="120"/>
        <v>148.48416</v>
      </c>
      <c r="Z193" s="42">
        <f t="shared" si="121"/>
        <v>207265.04449600002</v>
      </c>
      <c r="AC193" s="5"/>
      <c r="AD193" s="5"/>
      <c r="AE193" s="5"/>
    </row>
    <row r="194" spans="1:38" ht="14.25" customHeight="1">
      <c r="D194" s="36"/>
      <c r="E194" s="137" t="s">
        <v>264</v>
      </c>
      <c r="F194" s="138">
        <f>SUM(F188:F193)</f>
        <v>632475.36</v>
      </c>
      <c r="G194" s="138">
        <f t="shared" ref="G194:N194" si="122">SUM(G188:G193)</f>
        <v>0</v>
      </c>
      <c r="H194" s="138">
        <f t="shared" si="122"/>
        <v>81</v>
      </c>
      <c r="I194" s="138">
        <f t="shared" si="122"/>
        <v>1440</v>
      </c>
      <c r="J194" s="138">
        <f t="shared" si="122"/>
        <v>0</v>
      </c>
      <c r="K194" s="138">
        <f t="shared" si="122"/>
        <v>547238.39999999991</v>
      </c>
      <c r="L194" s="138">
        <f t="shared" si="122"/>
        <v>582930</v>
      </c>
      <c r="M194" s="138">
        <f t="shared" si="122"/>
        <v>0</v>
      </c>
      <c r="N194" s="138">
        <f t="shared" si="122"/>
        <v>632475.36</v>
      </c>
      <c r="O194" s="138">
        <f t="shared" ref="O194:Z194" si="123">SUM(O188:O193)</f>
        <v>0</v>
      </c>
      <c r="P194" s="138">
        <f t="shared" si="123"/>
        <v>0</v>
      </c>
      <c r="Q194" s="138">
        <f t="shared" si="123"/>
        <v>0</v>
      </c>
      <c r="R194" s="138">
        <f t="shared" si="123"/>
        <v>0</v>
      </c>
      <c r="S194" s="138">
        <f t="shared" si="123"/>
        <v>0</v>
      </c>
      <c r="T194" s="138">
        <f t="shared" si="123"/>
        <v>0</v>
      </c>
      <c r="U194" s="138">
        <f t="shared" si="123"/>
        <v>37998.239999999998</v>
      </c>
      <c r="V194" s="138">
        <f t="shared" si="123"/>
        <v>39138.1872</v>
      </c>
      <c r="W194" s="138">
        <f t="shared" si="123"/>
        <v>150592.38321600002</v>
      </c>
      <c r="X194" s="138">
        <f t="shared" si="123"/>
        <v>48384.365040000004</v>
      </c>
      <c r="Y194" s="138">
        <f t="shared" si="123"/>
        <v>632.47536000000002</v>
      </c>
      <c r="Z194" s="138">
        <f t="shared" si="123"/>
        <v>871222.77081600018</v>
      </c>
      <c r="AC194" s="5"/>
      <c r="AD194" s="5"/>
      <c r="AE194" s="5"/>
    </row>
    <row r="195" spans="1:38" ht="14.25" customHeight="1">
      <c r="A195" s="1"/>
      <c r="B195" s="1"/>
      <c r="C195" s="1"/>
      <c r="D195" s="36"/>
      <c r="E195" s="191"/>
      <c r="F195" s="138"/>
      <c r="G195" s="39"/>
      <c r="H195" s="130"/>
      <c r="I195" s="39"/>
      <c r="J195" s="138"/>
      <c r="K195" s="138"/>
      <c r="L195" s="138"/>
      <c r="M195" s="138"/>
      <c r="N195" s="40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AC195" s="5"/>
      <c r="AD195" s="5"/>
      <c r="AE195" s="5"/>
    </row>
    <row r="196" spans="1:38" ht="14.25" customHeight="1">
      <c r="A196" t="s">
        <v>236</v>
      </c>
      <c r="B196" t="s">
        <v>147</v>
      </c>
      <c r="D196" s="143" t="s">
        <v>265</v>
      </c>
      <c r="E196" s="147" t="s">
        <v>266</v>
      </c>
      <c r="F196" s="38">
        <f t="shared" ref="F196:F204" si="124">SUM(N196:T196)</f>
        <v>38726.400000000001</v>
      </c>
      <c r="G196" s="146" t="s">
        <v>150</v>
      </c>
      <c r="H196" s="39">
        <v>12</v>
      </c>
      <c r="I196" s="39" t="s">
        <v>267</v>
      </c>
      <c r="J196" s="138"/>
      <c r="K196" s="138">
        <v>32353.200000000001</v>
      </c>
      <c r="L196" s="138">
        <v>29412</v>
      </c>
      <c r="M196" s="40">
        <v>19.350000000000001</v>
      </c>
      <c r="N196" s="180">
        <v>38726.400000000001</v>
      </c>
      <c r="O196" s="138"/>
      <c r="P196" s="138"/>
      <c r="Q196" s="138"/>
      <c r="R196" s="138"/>
      <c r="S196" s="138"/>
      <c r="T196" s="138"/>
      <c r="U196" s="40">
        <v>4770.78</v>
      </c>
      <c r="V196" s="40">
        <f t="shared" ref="V196:V204" si="125">+U196*1.03</f>
        <v>4913.9034000000001</v>
      </c>
      <c r="W196" s="42">
        <f t="shared" ref="W196:W204" si="126">+(F196)*0.2381</f>
        <v>9220.7558399999998</v>
      </c>
      <c r="X196" s="40">
        <f t="shared" ref="X196:X204" si="127">F196*0.0765</f>
        <v>2962.5696000000003</v>
      </c>
      <c r="Y196" s="42">
        <f t="shared" ref="Y196:Y204" si="128">F196*0.001</f>
        <v>38.726400000000005</v>
      </c>
      <c r="Z196" s="42">
        <f t="shared" ref="Z196:Z204" si="129">F196+SUM(V196:Y196)</f>
        <v>55862.355240000004</v>
      </c>
      <c r="AC196" s="5"/>
      <c r="AD196" s="5"/>
      <c r="AE196" s="5"/>
    </row>
    <row r="197" spans="1:38" ht="14.25" customHeight="1">
      <c r="A197" t="s">
        <v>236</v>
      </c>
      <c r="B197" t="s">
        <v>147</v>
      </c>
      <c r="D197" s="36" t="s">
        <v>268</v>
      </c>
      <c r="E197" s="37" t="s">
        <v>269</v>
      </c>
      <c r="F197" s="38">
        <f t="shared" si="124"/>
        <v>37783.199999999997</v>
      </c>
      <c r="G197" s="39" t="s">
        <v>150</v>
      </c>
      <c r="H197" s="39">
        <v>18</v>
      </c>
      <c r="I197" s="39">
        <v>210</v>
      </c>
      <c r="J197" s="40"/>
      <c r="K197" s="40">
        <v>33230.400000000001</v>
      </c>
      <c r="L197" s="177">
        <v>36304.800000000003</v>
      </c>
      <c r="M197" s="177">
        <v>21.61</v>
      </c>
      <c r="N197" s="180">
        <v>37783.199999999997</v>
      </c>
      <c r="O197" s="41"/>
      <c r="P197" s="41"/>
      <c r="Q197" s="41"/>
      <c r="R197" s="41"/>
      <c r="S197" s="41"/>
      <c r="T197" s="41"/>
      <c r="U197" s="40">
        <v>11572.12</v>
      </c>
      <c r="V197" s="40">
        <f t="shared" si="125"/>
        <v>11919.283600000001</v>
      </c>
      <c r="W197" s="42">
        <f t="shared" si="126"/>
        <v>8996.1799199999987</v>
      </c>
      <c r="X197" s="40">
        <f t="shared" si="127"/>
        <v>2890.4147999999996</v>
      </c>
      <c r="Y197" s="42">
        <f t="shared" si="128"/>
        <v>37.783200000000001</v>
      </c>
      <c r="Z197" s="42">
        <f t="shared" si="129"/>
        <v>61626.861519999991</v>
      </c>
      <c r="AC197" s="5"/>
      <c r="AD197" s="5"/>
      <c r="AE197" s="5"/>
    </row>
    <row r="198" spans="1:38" ht="14.25" customHeight="1">
      <c r="A198" t="s">
        <v>236</v>
      </c>
      <c r="B198" t="s">
        <v>147</v>
      </c>
      <c r="D198" s="143" t="s">
        <v>265</v>
      </c>
      <c r="E198" s="37" t="s">
        <v>270</v>
      </c>
      <c r="F198" s="38">
        <f t="shared" si="124"/>
        <v>43180.800000000003</v>
      </c>
      <c r="G198" s="39" t="s">
        <v>150</v>
      </c>
      <c r="H198" s="39">
        <v>18</v>
      </c>
      <c r="I198" s="39">
        <v>240</v>
      </c>
      <c r="J198" s="40"/>
      <c r="K198" s="40">
        <v>37977.599999999999</v>
      </c>
      <c r="L198" s="177">
        <v>41491.199999999997</v>
      </c>
      <c r="M198" s="177">
        <v>21.61</v>
      </c>
      <c r="N198" s="180">
        <v>43180.800000000003</v>
      </c>
      <c r="O198" s="41"/>
      <c r="P198" s="41"/>
      <c r="Q198" s="41"/>
      <c r="R198" s="41"/>
      <c r="S198" s="41"/>
      <c r="T198" s="41"/>
      <c r="U198" s="40">
        <v>4770.78</v>
      </c>
      <c r="V198" s="40">
        <f t="shared" si="125"/>
        <v>4913.9034000000001</v>
      </c>
      <c r="W198" s="42">
        <f t="shared" si="126"/>
        <v>10281.348480000001</v>
      </c>
      <c r="X198" s="40">
        <f t="shared" si="127"/>
        <v>3303.3312000000001</v>
      </c>
      <c r="Y198" s="42">
        <f t="shared" si="128"/>
        <v>43.180800000000005</v>
      </c>
      <c r="Z198" s="42">
        <f t="shared" si="129"/>
        <v>61722.563880000002</v>
      </c>
      <c r="AC198" s="5"/>
      <c r="AD198" s="5"/>
      <c r="AE198" s="5"/>
    </row>
    <row r="199" spans="1:38" ht="14.25" customHeight="1">
      <c r="A199" t="s">
        <v>236</v>
      </c>
      <c r="B199" t="s">
        <v>147</v>
      </c>
      <c r="D199" s="143" t="s">
        <v>271</v>
      </c>
      <c r="E199" s="37" t="s">
        <v>272</v>
      </c>
      <c r="F199" s="38">
        <f t="shared" si="124"/>
        <v>36595.199999999997</v>
      </c>
      <c r="G199" s="146" t="s">
        <v>150</v>
      </c>
      <c r="H199" s="39">
        <v>9</v>
      </c>
      <c r="I199" s="39">
        <v>240</v>
      </c>
      <c r="J199" s="38"/>
      <c r="K199" s="38">
        <v>32102.400000000001</v>
      </c>
      <c r="L199" s="177">
        <v>35078.400000000001</v>
      </c>
      <c r="M199" s="177">
        <v>18.27</v>
      </c>
      <c r="N199" s="180">
        <v>36595.199999999997</v>
      </c>
      <c r="O199" s="138"/>
      <c r="P199" s="138"/>
      <c r="Q199" s="138"/>
      <c r="R199" s="138"/>
      <c r="S199" s="138"/>
      <c r="T199" s="138"/>
      <c r="U199" s="40">
        <v>4770.78</v>
      </c>
      <c r="V199" s="40">
        <f t="shared" si="125"/>
        <v>4913.9034000000001</v>
      </c>
      <c r="W199" s="42">
        <f t="shared" si="126"/>
        <v>8713.3171199999997</v>
      </c>
      <c r="X199" s="40">
        <f t="shared" si="127"/>
        <v>2799.5328</v>
      </c>
      <c r="Y199" s="42">
        <f t="shared" si="128"/>
        <v>36.595199999999998</v>
      </c>
      <c r="Z199" s="42">
        <f t="shared" si="129"/>
        <v>53058.548519999997</v>
      </c>
      <c r="AC199" s="5"/>
      <c r="AD199" s="5"/>
      <c r="AE199" s="5"/>
    </row>
    <row r="200" spans="1:38" ht="14.25" customHeight="1">
      <c r="A200" t="s">
        <v>236</v>
      </c>
      <c r="B200" t="s">
        <v>147</v>
      </c>
      <c r="D200" s="143" t="s">
        <v>265</v>
      </c>
      <c r="E200" s="37" t="s">
        <v>273</v>
      </c>
      <c r="F200" s="38">
        <f t="shared" si="124"/>
        <v>57523.199999999997</v>
      </c>
      <c r="G200" s="39" t="s">
        <v>274</v>
      </c>
      <c r="H200" s="39">
        <v>31</v>
      </c>
      <c r="I200" s="39">
        <v>240</v>
      </c>
      <c r="J200" s="40"/>
      <c r="K200" s="40">
        <v>49248</v>
      </c>
      <c r="L200" s="177">
        <v>52723.199999999997</v>
      </c>
      <c r="M200" s="177">
        <v>27.46</v>
      </c>
      <c r="N200" s="180">
        <v>57523.199999999997</v>
      </c>
      <c r="O200" s="41"/>
      <c r="P200" s="41"/>
      <c r="Q200" s="41"/>
      <c r="R200" s="41"/>
      <c r="S200" s="41"/>
      <c r="T200" s="41"/>
      <c r="U200" s="40">
        <v>7218.848</v>
      </c>
      <c r="V200" s="40">
        <f t="shared" si="125"/>
        <v>7435.4134400000003</v>
      </c>
      <c r="W200" s="42">
        <f t="shared" si="126"/>
        <v>13696.27392</v>
      </c>
      <c r="X200" s="40">
        <f t="shared" si="127"/>
        <v>4400.5248000000001</v>
      </c>
      <c r="Y200" s="42">
        <f t="shared" si="128"/>
        <v>57.523199999999996</v>
      </c>
      <c r="Z200" s="42">
        <f t="shared" si="129"/>
        <v>83112.935360000003</v>
      </c>
      <c r="AC200" s="5"/>
      <c r="AD200" s="5"/>
      <c r="AE200" s="5"/>
    </row>
    <row r="201" spans="1:38" ht="14.25" customHeight="1">
      <c r="A201" t="s">
        <v>236</v>
      </c>
      <c r="B201" t="s">
        <v>147</v>
      </c>
      <c r="D201" s="143" t="s">
        <v>265</v>
      </c>
      <c r="E201" s="37" t="s">
        <v>275</v>
      </c>
      <c r="F201" s="38">
        <f t="shared" si="124"/>
        <v>42451.199999999997</v>
      </c>
      <c r="G201" s="39" t="s">
        <v>150</v>
      </c>
      <c r="H201" s="39">
        <v>17</v>
      </c>
      <c r="I201" s="39">
        <v>240</v>
      </c>
      <c r="J201" s="40"/>
      <c r="K201" s="40">
        <v>37305.599999999999</v>
      </c>
      <c r="L201" s="40">
        <v>40742.400000000001</v>
      </c>
      <c r="M201" s="40">
        <v>21.22</v>
      </c>
      <c r="N201" s="180">
        <v>42451.199999999997</v>
      </c>
      <c r="O201" s="41"/>
      <c r="P201" s="41"/>
      <c r="Q201" s="41"/>
      <c r="R201" s="41"/>
      <c r="S201" s="41"/>
      <c r="T201" s="41"/>
      <c r="U201" s="40">
        <v>7218.848</v>
      </c>
      <c r="V201" s="40">
        <f t="shared" si="125"/>
        <v>7435.4134400000003</v>
      </c>
      <c r="W201" s="42">
        <f t="shared" si="126"/>
        <v>10107.630719999999</v>
      </c>
      <c r="X201" s="40">
        <f t="shared" si="127"/>
        <v>3247.5167999999999</v>
      </c>
      <c r="Y201" s="42">
        <f t="shared" si="128"/>
        <v>42.4512</v>
      </c>
      <c r="Z201" s="42">
        <f t="shared" si="129"/>
        <v>63284.212159999995</v>
      </c>
      <c r="AC201" s="5"/>
      <c r="AD201" s="5"/>
      <c r="AE201" s="5"/>
    </row>
    <row r="202" spans="1:38" ht="14.25" customHeight="1">
      <c r="A202" t="s">
        <v>236</v>
      </c>
      <c r="B202" t="s">
        <v>147</v>
      </c>
      <c r="D202" s="143" t="s">
        <v>265</v>
      </c>
      <c r="E202" s="37" t="s">
        <v>276</v>
      </c>
      <c r="F202" s="38">
        <f t="shared" si="124"/>
        <v>46389.120000000003</v>
      </c>
      <c r="G202" s="39" t="s">
        <v>150</v>
      </c>
      <c r="H202" s="39">
        <v>27</v>
      </c>
      <c r="I202" s="39">
        <v>222</v>
      </c>
      <c r="J202" s="40"/>
      <c r="K202" s="40">
        <v>40865.760000000002</v>
      </c>
      <c r="L202" s="177">
        <v>43920.480000000003</v>
      </c>
      <c r="M202" s="177">
        <v>24.73</v>
      </c>
      <c r="N202" s="180">
        <v>46389.120000000003</v>
      </c>
      <c r="O202" s="41"/>
      <c r="P202" s="41"/>
      <c r="Q202" s="41"/>
      <c r="R202" s="41"/>
      <c r="S202" s="41"/>
      <c r="T202" s="41"/>
      <c r="U202" s="40">
        <v>4770.78</v>
      </c>
      <c r="V202" s="40">
        <f t="shared" si="125"/>
        <v>4913.9034000000001</v>
      </c>
      <c r="W202" s="42">
        <f t="shared" si="126"/>
        <v>11045.249472000001</v>
      </c>
      <c r="X202" s="40">
        <f t="shared" si="127"/>
        <v>3548.7676799999999</v>
      </c>
      <c r="Y202" s="42">
        <f t="shared" si="128"/>
        <v>46.389120000000005</v>
      </c>
      <c r="Z202" s="42">
        <f t="shared" si="129"/>
        <v>65943.429671999998</v>
      </c>
      <c r="AC202" s="5"/>
      <c r="AD202" s="5"/>
      <c r="AE202" s="5"/>
    </row>
    <row r="203" spans="1:38" ht="14.25" customHeight="1">
      <c r="A203" s="192" t="s">
        <v>236</v>
      </c>
      <c r="B203" s="192" t="s">
        <v>147</v>
      </c>
      <c r="C203" s="192"/>
      <c r="D203" s="193" t="s">
        <v>265</v>
      </c>
      <c r="E203" s="167" t="s">
        <v>277</v>
      </c>
      <c r="F203" s="38">
        <f t="shared" si="124"/>
        <v>32020.799999999999</v>
      </c>
      <c r="G203" s="194" t="s">
        <v>150</v>
      </c>
      <c r="H203" s="194">
        <v>6</v>
      </c>
      <c r="I203" s="194" t="s">
        <v>278</v>
      </c>
      <c r="J203" s="195"/>
      <c r="K203" s="195">
        <v>41433.599999999999</v>
      </c>
      <c r="L203" s="195">
        <v>26144</v>
      </c>
      <c r="M203" s="195">
        <v>17.2</v>
      </c>
      <c r="N203" s="180">
        <v>32020.799999999999</v>
      </c>
      <c r="O203" s="196"/>
      <c r="P203" s="196"/>
      <c r="Q203" s="196"/>
      <c r="R203" s="50"/>
      <c r="S203" s="50"/>
      <c r="T203" s="50"/>
      <c r="U203" s="195">
        <v>11572.12</v>
      </c>
      <c r="V203" s="195">
        <f t="shared" si="125"/>
        <v>11919.283600000001</v>
      </c>
      <c r="W203" s="42">
        <f t="shared" si="126"/>
        <v>7624.1524799999997</v>
      </c>
      <c r="X203" s="195">
        <f t="shared" si="127"/>
        <v>2449.5911999999998</v>
      </c>
      <c r="Y203" s="197">
        <f t="shared" si="128"/>
        <v>32.020800000000001</v>
      </c>
      <c r="Z203" s="197">
        <f t="shared" si="129"/>
        <v>54045.848079999996</v>
      </c>
      <c r="AA203" s="192"/>
      <c r="AB203" s="192"/>
      <c r="AC203" s="198"/>
      <c r="AD203" s="198"/>
      <c r="AE203" s="198"/>
      <c r="AF203" s="192"/>
      <c r="AG203" s="192"/>
      <c r="AH203" s="192"/>
      <c r="AI203" s="192"/>
      <c r="AJ203" s="192"/>
      <c r="AK203" s="192"/>
      <c r="AL203" s="192"/>
    </row>
    <row r="204" spans="1:38" ht="14.25" customHeight="1">
      <c r="A204" s="192" t="s">
        <v>236</v>
      </c>
      <c r="B204" s="192" t="s">
        <v>147</v>
      </c>
      <c r="C204" s="192"/>
      <c r="D204" s="193" t="s">
        <v>265</v>
      </c>
      <c r="E204" s="46" t="s">
        <v>279</v>
      </c>
      <c r="F204" s="38">
        <f t="shared" si="124"/>
        <v>37240</v>
      </c>
      <c r="G204" s="199" t="s">
        <v>150</v>
      </c>
      <c r="H204" s="194">
        <v>23</v>
      </c>
      <c r="I204" s="194">
        <v>190</v>
      </c>
      <c r="J204" s="196"/>
      <c r="K204" s="195">
        <v>34605.69</v>
      </c>
      <c r="L204" s="195">
        <v>35811.199999999997</v>
      </c>
      <c r="M204" s="195">
        <v>23.56</v>
      </c>
      <c r="N204" s="200">
        <v>37240</v>
      </c>
      <c r="O204" s="196"/>
      <c r="P204" s="196"/>
      <c r="Q204" s="196"/>
      <c r="R204" s="196"/>
      <c r="S204" s="196"/>
      <c r="T204" s="196"/>
      <c r="U204" s="195">
        <v>4770.78</v>
      </c>
      <c r="V204" s="195">
        <f t="shared" si="125"/>
        <v>4913.9034000000001</v>
      </c>
      <c r="W204" s="42">
        <f t="shared" si="126"/>
        <v>8866.844000000001</v>
      </c>
      <c r="X204" s="195">
        <f t="shared" si="127"/>
        <v>2848.86</v>
      </c>
      <c r="Y204" s="197">
        <f t="shared" si="128"/>
        <v>37.24</v>
      </c>
      <c r="Z204" s="197">
        <f t="shared" si="129"/>
        <v>53906.847399999999</v>
      </c>
      <c r="AA204" s="192"/>
      <c r="AB204" s="192"/>
      <c r="AC204" s="198"/>
      <c r="AD204" s="198"/>
      <c r="AE204" s="198"/>
      <c r="AF204" s="192"/>
      <c r="AG204" s="192"/>
      <c r="AH204" s="192"/>
      <c r="AI204" s="192"/>
      <c r="AJ204" s="192"/>
      <c r="AK204" s="192"/>
      <c r="AL204" s="192"/>
    </row>
    <row r="205" spans="1:38" ht="14.25" customHeight="1">
      <c r="D205" s="36"/>
      <c r="E205" s="137" t="s">
        <v>280</v>
      </c>
      <c r="F205" s="138">
        <f>SUM(F196:F204)</f>
        <v>371909.92</v>
      </c>
      <c r="G205" s="138">
        <f t="shared" ref="G205:N205" si="130">SUM(G196:G204)</f>
        <v>0</v>
      </c>
      <c r="H205" s="138">
        <f t="shared" si="130"/>
        <v>161</v>
      </c>
      <c r="I205" s="138">
        <f t="shared" si="130"/>
        <v>1582</v>
      </c>
      <c r="J205" s="138">
        <f t="shared" si="130"/>
        <v>0</v>
      </c>
      <c r="K205" s="138">
        <f t="shared" si="130"/>
        <v>339122.25</v>
      </c>
      <c r="L205" s="138">
        <f t="shared" si="130"/>
        <v>341627.68</v>
      </c>
      <c r="M205" s="138">
        <f t="shared" si="130"/>
        <v>195.01</v>
      </c>
      <c r="N205" s="138">
        <f t="shared" si="130"/>
        <v>371909.92</v>
      </c>
      <c r="O205" s="138">
        <f t="shared" ref="O205:Z205" si="131">SUM(O196:O204)</f>
        <v>0</v>
      </c>
      <c r="P205" s="138">
        <f t="shared" si="131"/>
        <v>0</v>
      </c>
      <c r="Q205" s="138">
        <f t="shared" si="131"/>
        <v>0</v>
      </c>
      <c r="R205" s="138">
        <f t="shared" si="131"/>
        <v>0</v>
      </c>
      <c r="S205" s="138">
        <f t="shared" si="131"/>
        <v>0</v>
      </c>
      <c r="T205" s="138">
        <f t="shared" si="131"/>
        <v>0</v>
      </c>
      <c r="U205" s="138">
        <f t="shared" si="131"/>
        <v>61435.835999999996</v>
      </c>
      <c r="V205" s="138">
        <f t="shared" si="131"/>
        <v>63278.911080000013</v>
      </c>
      <c r="W205" s="138">
        <f t="shared" si="131"/>
        <v>88551.751952000006</v>
      </c>
      <c r="X205" s="138">
        <f t="shared" si="131"/>
        <v>28451.10888</v>
      </c>
      <c r="Y205" s="138">
        <f t="shared" si="131"/>
        <v>371.90992</v>
      </c>
      <c r="Z205" s="138">
        <f t="shared" si="131"/>
        <v>552563.60183199996</v>
      </c>
      <c r="AC205" s="5"/>
      <c r="AD205" s="5"/>
      <c r="AE205" s="5"/>
    </row>
    <row r="206" spans="1:38" ht="14.25" customHeight="1">
      <c r="A206" s="1"/>
      <c r="B206" s="1"/>
      <c r="C206" s="1"/>
      <c r="D206" s="36"/>
      <c r="E206" s="191"/>
      <c r="F206" s="138"/>
      <c r="G206" s="39"/>
      <c r="H206" s="39"/>
      <c r="I206" s="39"/>
      <c r="J206" s="138"/>
      <c r="K206" s="138"/>
      <c r="L206" s="138"/>
      <c r="M206" s="138"/>
      <c r="N206" s="40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  <c r="AC206" s="5"/>
      <c r="AD206" s="5"/>
      <c r="AE206" s="5"/>
    </row>
    <row r="207" spans="1:38" ht="14.25" customHeight="1">
      <c r="A207" t="s">
        <v>281</v>
      </c>
      <c r="B207" t="s">
        <v>147</v>
      </c>
      <c r="D207" s="36" t="s">
        <v>282</v>
      </c>
      <c r="E207" s="205" t="s">
        <v>283</v>
      </c>
      <c r="F207" s="38">
        <f>SUM(N207:T207)</f>
        <v>65625.983999999997</v>
      </c>
      <c r="G207" s="39" t="s">
        <v>284</v>
      </c>
      <c r="H207" s="39">
        <v>19</v>
      </c>
      <c r="I207" s="39">
        <v>240</v>
      </c>
      <c r="J207" s="40"/>
      <c r="K207" s="40">
        <v>59769.599999999999</v>
      </c>
      <c r="L207" s="177">
        <v>64339.199999999997</v>
      </c>
      <c r="M207" s="177">
        <v>33.51</v>
      </c>
      <c r="N207" s="40">
        <f>(+L207*1.02)</f>
        <v>65625.983999999997</v>
      </c>
      <c r="O207" s="41"/>
      <c r="P207" s="41"/>
      <c r="Q207" s="41"/>
      <c r="R207" s="41"/>
      <c r="S207" s="41"/>
      <c r="T207" s="41"/>
      <c r="U207" s="40">
        <v>7218.85</v>
      </c>
      <c r="V207" s="40">
        <f>+U207*1.03</f>
        <v>7435.415500000001</v>
      </c>
      <c r="W207" s="42">
        <f>+(F207)*0.2381</f>
        <v>15625.5467904</v>
      </c>
      <c r="X207" s="40">
        <f>F207*0.0765</f>
        <v>5020.3877759999996</v>
      </c>
      <c r="Y207" s="42">
        <f>F207*0.001</f>
        <v>65.625984000000003</v>
      </c>
      <c r="Z207" s="42">
        <f>F207+SUM(V207:Y207)</f>
        <v>93772.960050399997</v>
      </c>
      <c r="AC207" s="5"/>
      <c r="AD207" s="5"/>
      <c r="AE207" s="5"/>
    </row>
    <row r="208" spans="1:38" ht="14.25" customHeight="1">
      <c r="D208" s="36"/>
      <c r="E208" s="137" t="s">
        <v>146</v>
      </c>
      <c r="F208" s="138">
        <f>SUM(F207)</f>
        <v>65625.983999999997</v>
      </c>
      <c r="G208" s="138">
        <f t="shared" ref="G208:N208" si="132">SUM(G207)</f>
        <v>0</v>
      </c>
      <c r="H208" s="138">
        <f t="shared" si="132"/>
        <v>19</v>
      </c>
      <c r="I208" s="138">
        <f t="shared" si="132"/>
        <v>240</v>
      </c>
      <c r="J208" s="138">
        <f t="shared" si="132"/>
        <v>0</v>
      </c>
      <c r="K208" s="138">
        <f t="shared" si="132"/>
        <v>59769.599999999999</v>
      </c>
      <c r="L208" s="138">
        <f t="shared" si="132"/>
        <v>64339.199999999997</v>
      </c>
      <c r="M208" s="138"/>
      <c r="N208" s="138">
        <f t="shared" si="132"/>
        <v>65625.983999999997</v>
      </c>
      <c r="O208" s="138">
        <f t="shared" ref="O208:Z208" si="133">SUM(O207)</f>
        <v>0</v>
      </c>
      <c r="P208" s="138">
        <f t="shared" si="133"/>
        <v>0</v>
      </c>
      <c r="Q208" s="138">
        <f t="shared" si="133"/>
        <v>0</v>
      </c>
      <c r="R208" s="138">
        <f t="shared" si="133"/>
        <v>0</v>
      </c>
      <c r="S208" s="138">
        <f t="shared" si="133"/>
        <v>0</v>
      </c>
      <c r="T208" s="138">
        <f t="shared" si="133"/>
        <v>0</v>
      </c>
      <c r="U208" s="138">
        <f t="shared" si="133"/>
        <v>7218.85</v>
      </c>
      <c r="V208" s="138">
        <f t="shared" si="133"/>
        <v>7435.415500000001</v>
      </c>
      <c r="W208" s="138">
        <f t="shared" si="133"/>
        <v>15625.5467904</v>
      </c>
      <c r="X208" s="138">
        <f t="shared" si="133"/>
        <v>5020.3877759999996</v>
      </c>
      <c r="Y208" s="138">
        <f t="shared" si="133"/>
        <v>65.625984000000003</v>
      </c>
      <c r="Z208" s="138">
        <f t="shared" si="133"/>
        <v>93772.960050399997</v>
      </c>
      <c r="AC208" s="5"/>
      <c r="AD208" s="5"/>
      <c r="AE208" s="5"/>
    </row>
    <row r="209" spans="1:31" ht="14.25" customHeight="1">
      <c r="A209" s="1"/>
      <c r="B209" s="1"/>
      <c r="C209" s="1"/>
      <c r="D209" s="36"/>
      <c r="E209" s="37"/>
      <c r="F209" s="38"/>
      <c r="G209" s="39"/>
      <c r="H209" s="39"/>
      <c r="I209" s="39"/>
      <c r="J209" s="40"/>
      <c r="K209" s="40"/>
      <c r="L209" s="40"/>
      <c r="M209" s="40"/>
      <c r="N209" s="40"/>
      <c r="O209" s="41"/>
      <c r="P209" s="41"/>
      <c r="Q209" s="41"/>
      <c r="R209" s="41"/>
      <c r="S209" s="41"/>
      <c r="T209" s="41"/>
      <c r="U209" s="40"/>
      <c r="V209" s="40"/>
      <c r="W209" s="42"/>
      <c r="X209" s="40"/>
      <c r="Y209" s="42"/>
      <c r="Z209" s="42"/>
      <c r="AC209" s="5"/>
      <c r="AD209" s="5"/>
      <c r="AE209" s="5"/>
    </row>
    <row r="210" spans="1:31" ht="14.25" customHeight="1">
      <c r="A210" t="s">
        <v>285</v>
      </c>
      <c r="B210" t="s">
        <v>48</v>
      </c>
      <c r="D210" s="36" t="s">
        <v>286</v>
      </c>
      <c r="E210" s="37" t="s">
        <v>287</v>
      </c>
      <c r="F210" s="38">
        <f t="shared" ref="F210:F215" si="134">SUM(N210:T210)</f>
        <v>48576</v>
      </c>
      <c r="G210" s="39" t="s">
        <v>150</v>
      </c>
      <c r="H210" s="39">
        <v>25</v>
      </c>
      <c r="I210" s="39">
        <v>240</v>
      </c>
      <c r="J210" s="40"/>
      <c r="K210" s="40">
        <v>40742.400000000001</v>
      </c>
      <c r="L210" s="177">
        <v>46732.800000000003</v>
      </c>
      <c r="M210" s="177">
        <v>24.34</v>
      </c>
      <c r="N210" s="180">
        <v>48576</v>
      </c>
      <c r="O210" s="41"/>
      <c r="P210" s="41"/>
      <c r="Q210" s="41"/>
      <c r="R210" s="41"/>
      <c r="S210" s="41"/>
      <c r="T210" s="41"/>
      <c r="U210" s="40">
        <v>4770.78</v>
      </c>
      <c r="V210" s="40">
        <f t="shared" ref="V210:V215" si="135">+U210*1.03</f>
        <v>4913.9034000000001</v>
      </c>
      <c r="W210" s="42">
        <f t="shared" ref="W210:W215" si="136">+(F210)*0.2381</f>
        <v>11565.945600000001</v>
      </c>
      <c r="X210" s="40">
        <f t="shared" ref="X210:X215" si="137">F210*0.0765</f>
        <v>3716.0639999999999</v>
      </c>
      <c r="Y210" s="42">
        <f t="shared" ref="Y210:Y215" si="138">F210*0.001</f>
        <v>48.576000000000001</v>
      </c>
      <c r="Z210" s="42">
        <f t="shared" ref="Z210:Z215" si="139">F210+SUM(V210:Y210)</f>
        <v>68820.489000000001</v>
      </c>
      <c r="AC210" s="5"/>
      <c r="AD210" s="5"/>
      <c r="AE210" s="5"/>
    </row>
    <row r="211" spans="1:31" ht="14.25" customHeight="1">
      <c r="A211" t="s">
        <v>285</v>
      </c>
      <c r="B211" t="s">
        <v>48</v>
      </c>
      <c r="D211" s="36" t="s">
        <v>286</v>
      </c>
      <c r="E211" s="37" t="s">
        <v>288</v>
      </c>
      <c r="F211" s="38">
        <f t="shared" si="134"/>
        <v>63398.400000000001</v>
      </c>
      <c r="G211" s="39" t="s">
        <v>289</v>
      </c>
      <c r="H211" s="39">
        <v>29</v>
      </c>
      <c r="I211" s="39">
        <v>240</v>
      </c>
      <c r="J211" s="40"/>
      <c r="K211" s="40">
        <v>54316.800000000003</v>
      </c>
      <c r="L211" s="177">
        <v>57945.599999999999</v>
      </c>
      <c r="M211" s="177">
        <v>30.18</v>
      </c>
      <c r="N211" s="178">
        <v>63398.400000000001</v>
      </c>
      <c r="O211" s="41"/>
      <c r="P211" s="41"/>
      <c r="Q211" s="41"/>
      <c r="R211" s="41"/>
      <c r="S211" s="41"/>
      <c r="T211" s="41"/>
      <c r="U211" s="40">
        <v>7218.848</v>
      </c>
      <c r="V211" s="40">
        <f t="shared" si="135"/>
        <v>7435.4134400000003</v>
      </c>
      <c r="W211" s="42">
        <f t="shared" si="136"/>
        <v>15095.15904</v>
      </c>
      <c r="X211" s="40">
        <f t="shared" si="137"/>
        <v>4849.9776000000002</v>
      </c>
      <c r="Y211" s="42">
        <f t="shared" si="138"/>
        <v>63.398400000000002</v>
      </c>
      <c r="Z211" s="42">
        <f t="shared" si="139"/>
        <v>90842.348480000001</v>
      </c>
      <c r="AC211" s="5"/>
      <c r="AD211" s="5"/>
      <c r="AE211" s="5"/>
    </row>
    <row r="212" spans="1:31" ht="14.25" customHeight="1">
      <c r="A212" t="s">
        <v>285</v>
      </c>
      <c r="B212" t="s">
        <v>48</v>
      </c>
      <c r="D212" s="36" t="s">
        <v>286</v>
      </c>
      <c r="E212" s="37" t="s">
        <v>290</v>
      </c>
      <c r="F212" s="38">
        <f t="shared" si="134"/>
        <v>41683.199999999997</v>
      </c>
      <c r="G212" s="39" t="s">
        <v>150</v>
      </c>
      <c r="H212" s="39">
        <v>16</v>
      </c>
      <c r="I212" s="39">
        <v>240</v>
      </c>
      <c r="J212" s="38"/>
      <c r="K212" s="40">
        <v>32390.400000000001</v>
      </c>
      <c r="L212" s="177">
        <v>39993.599999999999</v>
      </c>
      <c r="M212" s="177">
        <v>20.83</v>
      </c>
      <c r="N212" s="178">
        <v>41683.199999999997</v>
      </c>
      <c r="O212" s="41"/>
      <c r="P212" s="41"/>
      <c r="Q212" s="41"/>
      <c r="R212" s="41"/>
      <c r="S212" s="41"/>
      <c r="T212" s="41"/>
      <c r="U212" s="40">
        <v>4770.78</v>
      </c>
      <c r="V212" s="40">
        <f t="shared" si="135"/>
        <v>4913.9034000000001</v>
      </c>
      <c r="W212" s="42">
        <f t="shared" si="136"/>
        <v>9924.7699199999988</v>
      </c>
      <c r="X212" s="40">
        <f t="shared" si="137"/>
        <v>3188.7647999999999</v>
      </c>
      <c r="Y212" s="42">
        <f t="shared" si="138"/>
        <v>41.683199999999999</v>
      </c>
      <c r="Z212" s="42">
        <f t="shared" si="139"/>
        <v>59752.321319999995</v>
      </c>
      <c r="AC212" s="5"/>
      <c r="AD212" s="5"/>
      <c r="AE212" s="5"/>
    </row>
    <row r="213" spans="1:31" ht="14.25" customHeight="1">
      <c r="A213" t="s">
        <v>285</v>
      </c>
      <c r="B213" t="s">
        <v>48</v>
      </c>
      <c r="D213" s="36" t="s">
        <v>286</v>
      </c>
      <c r="E213" s="37" t="s">
        <v>291</v>
      </c>
      <c r="F213" s="38">
        <f t="shared" si="134"/>
        <v>91718.399999999994</v>
      </c>
      <c r="G213" s="39" t="s">
        <v>239</v>
      </c>
      <c r="H213" s="39">
        <v>30</v>
      </c>
      <c r="I213" s="39">
        <v>240</v>
      </c>
      <c r="J213" s="40"/>
      <c r="K213" s="40">
        <v>79737.600000000006</v>
      </c>
      <c r="L213" s="177">
        <v>84115.199999999997</v>
      </c>
      <c r="M213" s="177"/>
      <c r="N213" s="178">
        <v>91718.399999999994</v>
      </c>
      <c r="O213" s="41"/>
      <c r="P213" s="40"/>
      <c r="Q213" s="41"/>
      <c r="R213" s="41"/>
      <c r="S213" s="41"/>
      <c r="T213" s="41"/>
      <c r="U213" s="40">
        <v>11572.12</v>
      </c>
      <c r="V213" s="40">
        <f t="shared" si="135"/>
        <v>11919.283600000001</v>
      </c>
      <c r="W213" s="42">
        <f t="shared" si="136"/>
        <v>21838.151040000001</v>
      </c>
      <c r="X213" s="40">
        <f t="shared" si="137"/>
        <v>7016.4575999999997</v>
      </c>
      <c r="Y213" s="42">
        <f t="shared" si="138"/>
        <v>91.718400000000003</v>
      </c>
      <c r="Z213" s="42">
        <f t="shared" si="139"/>
        <v>132584.01063999999</v>
      </c>
      <c r="AC213" s="5"/>
      <c r="AD213" s="5"/>
      <c r="AE213" s="5"/>
    </row>
    <row r="214" spans="1:31" ht="14.25" customHeight="1">
      <c r="A214" t="s">
        <v>285</v>
      </c>
      <c r="B214" t="s">
        <v>48</v>
      </c>
      <c r="D214" s="36" t="s">
        <v>286</v>
      </c>
      <c r="E214" s="205" t="s">
        <v>292</v>
      </c>
      <c r="F214" s="38">
        <f t="shared" si="134"/>
        <v>49497.599999999999</v>
      </c>
      <c r="G214" s="39" t="s">
        <v>150</v>
      </c>
      <c r="H214" s="39">
        <v>18</v>
      </c>
      <c r="I214" s="39">
        <v>240</v>
      </c>
      <c r="J214" s="40"/>
      <c r="K214" s="40">
        <v>33600</v>
      </c>
      <c r="L214" s="177">
        <v>41491.199999999997</v>
      </c>
      <c r="M214" s="177">
        <v>25.78</v>
      </c>
      <c r="N214" s="180">
        <v>49497.599999999999</v>
      </c>
      <c r="O214" s="41"/>
      <c r="P214" s="41"/>
      <c r="Q214" s="41"/>
      <c r="R214" s="41"/>
      <c r="S214" s="41"/>
      <c r="T214" s="41"/>
      <c r="U214" s="40">
        <v>176.12</v>
      </c>
      <c r="V214" s="40">
        <f t="shared" si="135"/>
        <v>181.40360000000001</v>
      </c>
      <c r="W214" s="42">
        <f t="shared" si="136"/>
        <v>11785.378559999999</v>
      </c>
      <c r="X214" s="40">
        <f t="shared" si="137"/>
        <v>3786.5663999999997</v>
      </c>
      <c r="Y214" s="42">
        <f t="shared" si="138"/>
        <v>49.497599999999998</v>
      </c>
      <c r="Z214" s="42">
        <f t="shared" si="139"/>
        <v>65300.44616</v>
      </c>
      <c r="AA214" s="201" t="s">
        <v>293</v>
      </c>
      <c r="AC214" s="5"/>
      <c r="AD214" s="5"/>
      <c r="AE214" s="5"/>
    </row>
    <row r="215" spans="1:31" ht="14.25" customHeight="1">
      <c r="A215" t="s">
        <v>285</v>
      </c>
      <c r="B215" t="s">
        <v>48</v>
      </c>
      <c r="D215" s="36" t="s">
        <v>286</v>
      </c>
      <c r="E215" s="202" t="s">
        <v>294</v>
      </c>
      <c r="F215" s="38">
        <f t="shared" si="134"/>
        <v>55526.400000000001</v>
      </c>
      <c r="G215" s="146" t="s">
        <v>289</v>
      </c>
      <c r="H215" s="39">
        <v>21</v>
      </c>
      <c r="I215" s="39">
        <v>240</v>
      </c>
      <c r="J215" s="138"/>
      <c r="K215" s="138">
        <v>0</v>
      </c>
      <c r="L215" s="138">
        <v>53376</v>
      </c>
      <c r="M215" s="138">
        <v>27.8</v>
      </c>
      <c r="N215" s="180">
        <v>55526.400000000001</v>
      </c>
      <c r="O215" s="138"/>
      <c r="P215" s="138"/>
      <c r="Q215" s="138"/>
      <c r="R215" s="138"/>
      <c r="S215" s="138"/>
      <c r="T215" s="138"/>
      <c r="U215" s="40">
        <v>4770.78</v>
      </c>
      <c r="V215" s="40">
        <f t="shared" si="135"/>
        <v>4913.9034000000001</v>
      </c>
      <c r="W215" s="42">
        <f t="shared" si="136"/>
        <v>13220.835840000002</v>
      </c>
      <c r="X215" s="40">
        <f t="shared" si="137"/>
        <v>4247.7695999999996</v>
      </c>
      <c r="Y215" s="42">
        <f t="shared" si="138"/>
        <v>55.526400000000002</v>
      </c>
      <c r="Z215" s="42">
        <f t="shared" si="139"/>
        <v>77964.435240000006</v>
      </c>
      <c r="AC215" s="5"/>
      <c r="AD215" s="5"/>
      <c r="AE215" s="5"/>
    </row>
    <row r="216" spans="1:31" ht="14.25" customHeight="1">
      <c r="A216" t="s">
        <v>285</v>
      </c>
      <c r="B216" t="s">
        <v>48</v>
      </c>
      <c r="D216" s="36" t="s">
        <v>286</v>
      </c>
      <c r="E216" s="137" t="s">
        <v>183</v>
      </c>
      <c r="F216" s="138">
        <f t="shared" ref="F216:Z216" si="140">SUM(F210:F215)</f>
        <v>350400</v>
      </c>
      <c r="G216" s="138">
        <f t="shared" si="140"/>
        <v>0</v>
      </c>
      <c r="H216" s="138">
        <f t="shared" si="140"/>
        <v>139</v>
      </c>
      <c r="I216" s="138">
        <f t="shared" si="140"/>
        <v>1440</v>
      </c>
      <c r="J216" s="138">
        <f t="shared" si="140"/>
        <v>0</v>
      </c>
      <c r="K216" s="138">
        <f t="shared" si="140"/>
        <v>240787.20000000001</v>
      </c>
      <c r="L216" s="138">
        <f t="shared" si="140"/>
        <v>323654.40000000002</v>
      </c>
      <c r="M216" s="138">
        <f t="shared" si="140"/>
        <v>128.93</v>
      </c>
      <c r="N216" s="138">
        <f t="shared" si="140"/>
        <v>350400</v>
      </c>
      <c r="O216" s="138">
        <f t="shared" si="140"/>
        <v>0</v>
      </c>
      <c r="P216" s="138">
        <f t="shared" si="140"/>
        <v>0</v>
      </c>
      <c r="Q216" s="138">
        <f t="shared" si="140"/>
        <v>0</v>
      </c>
      <c r="R216" s="138">
        <f t="shared" si="140"/>
        <v>0</v>
      </c>
      <c r="S216" s="138">
        <f t="shared" si="140"/>
        <v>0</v>
      </c>
      <c r="T216" s="138">
        <f t="shared" si="140"/>
        <v>0</v>
      </c>
      <c r="U216" s="138">
        <f t="shared" si="140"/>
        <v>33279.428</v>
      </c>
      <c r="V216" s="138">
        <f t="shared" si="140"/>
        <v>34277.810839999998</v>
      </c>
      <c r="W216" s="138">
        <f t="shared" si="140"/>
        <v>83430.239999999991</v>
      </c>
      <c r="X216" s="138">
        <f t="shared" si="140"/>
        <v>26805.600000000002</v>
      </c>
      <c r="Y216" s="138">
        <f t="shared" si="140"/>
        <v>350.40000000000003</v>
      </c>
      <c r="Z216" s="138">
        <f t="shared" si="140"/>
        <v>495264.05083999998</v>
      </c>
      <c r="AC216" s="5"/>
      <c r="AD216" s="5"/>
      <c r="AE216" s="5"/>
    </row>
    <row r="217" spans="1:31" ht="14.25" customHeight="1">
      <c r="A217" s="1"/>
      <c r="B217" s="1"/>
      <c r="C217" s="1"/>
      <c r="D217" s="36"/>
      <c r="E217" s="156"/>
      <c r="F217" s="38"/>
      <c r="G217" s="39"/>
      <c r="H217" s="39"/>
      <c r="I217" s="39"/>
      <c r="J217" s="38"/>
      <c r="K217" s="40"/>
      <c r="L217" s="40"/>
      <c r="M217" s="40"/>
      <c r="N217" s="40"/>
      <c r="O217" s="41"/>
      <c r="P217" s="41"/>
      <c r="Q217" s="41"/>
      <c r="R217" s="41"/>
      <c r="T217" s="41"/>
      <c r="U217" s="40"/>
      <c r="V217" s="40"/>
      <c r="W217" s="42"/>
      <c r="X217" s="40"/>
      <c r="Y217" s="42"/>
      <c r="Z217" s="42"/>
      <c r="AC217" s="5"/>
      <c r="AD217" s="5"/>
      <c r="AE217" s="5"/>
    </row>
    <row r="218" spans="1:31" ht="14.25" customHeight="1">
      <c r="A218" t="s">
        <v>295</v>
      </c>
      <c r="B218" t="s">
        <v>48</v>
      </c>
      <c r="D218" s="203" t="s">
        <v>296</v>
      </c>
      <c r="E218" s="37" t="s">
        <v>297</v>
      </c>
      <c r="F218" s="38">
        <f>SUM(N218:T218)</f>
        <v>72998.399999999994</v>
      </c>
      <c r="G218" s="43" t="s">
        <v>239</v>
      </c>
      <c r="H218" s="43">
        <v>16</v>
      </c>
      <c r="I218" s="43">
        <v>240</v>
      </c>
      <c r="J218" s="40"/>
      <c r="K218" s="40">
        <v>66028.800000000003</v>
      </c>
      <c r="L218" s="177">
        <v>70848</v>
      </c>
      <c r="M218" s="177"/>
      <c r="N218" s="40">
        <v>72998.399999999994</v>
      </c>
      <c r="O218" s="41"/>
      <c r="P218" s="41"/>
      <c r="Q218" s="41"/>
      <c r="R218" s="41"/>
      <c r="S218" s="132"/>
      <c r="T218" s="41"/>
      <c r="U218" s="40">
        <v>7218.25</v>
      </c>
      <c r="V218" s="40">
        <f>+U218*1.03</f>
        <v>7434.7975000000006</v>
      </c>
      <c r="W218" s="42">
        <f>+(F218)*0.2381</f>
        <v>17380.919040000001</v>
      </c>
      <c r="X218" s="40">
        <f>F218*0.0765</f>
        <v>5584.3775999999998</v>
      </c>
      <c r="Y218" s="42">
        <f>F218*0.001</f>
        <v>72.99839999999999</v>
      </c>
      <c r="Z218" s="42">
        <f>F218+SUM(V218:Y218)</f>
        <v>103471.49253999999</v>
      </c>
      <c r="AC218" s="5"/>
      <c r="AD218" s="5"/>
      <c r="AE218" s="5"/>
    </row>
    <row r="219" spans="1:31" ht="14.25" customHeight="1">
      <c r="E219" s="137" t="s">
        <v>298</v>
      </c>
      <c r="F219" s="141">
        <f>SUM(F218)</f>
        <v>72998.399999999994</v>
      </c>
      <c r="G219" s="141">
        <f t="shared" ref="G219:N219" si="141">SUM(G218)</f>
        <v>0</v>
      </c>
      <c r="H219" s="141">
        <f t="shared" si="141"/>
        <v>16</v>
      </c>
      <c r="I219" s="141">
        <f t="shared" si="141"/>
        <v>240</v>
      </c>
      <c r="J219" s="141">
        <f t="shared" si="141"/>
        <v>0</v>
      </c>
      <c r="K219" s="141">
        <f t="shared" si="141"/>
        <v>66028.800000000003</v>
      </c>
      <c r="L219" s="141">
        <f t="shared" si="141"/>
        <v>70848</v>
      </c>
      <c r="M219" s="141"/>
      <c r="N219" s="141">
        <f t="shared" si="141"/>
        <v>72998.399999999994</v>
      </c>
      <c r="O219" s="141">
        <f t="shared" ref="O219:Z219" si="142">SUM(O218)</f>
        <v>0</v>
      </c>
      <c r="P219" s="141">
        <f t="shared" si="142"/>
        <v>0</v>
      </c>
      <c r="Q219" s="141">
        <f t="shared" si="142"/>
        <v>0</v>
      </c>
      <c r="R219" s="141">
        <f t="shared" si="142"/>
        <v>0</v>
      </c>
      <c r="S219" s="141">
        <f t="shared" si="142"/>
        <v>0</v>
      </c>
      <c r="T219" s="141">
        <f t="shared" si="142"/>
        <v>0</v>
      </c>
      <c r="U219" s="141">
        <f t="shared" si="142"/>
        <v>7218.25</v>
      </c>
      <c r="V219" s="141">
        <f t="shared" si="142"/>
        <v>7434.7975000000006</v>
      </c>
      <c r="W219" s="141">
        <f t="shared" si="142"/>
        <v>17380.919040000001</v>
      </c>
      <c r="X219" s="141">
        <f t="shared" si="142"/>
        <v>5584.3775999999998</v>
      </c>
      <c r="Y219" s="141">
        <f t="shared" si="142"/>
        <v>72.99839999999999</v>
      </c>
      <c r="Z219" s="141">
        <f t="shared" si="142"/>
        <v>103471.49253999999</v>
      </c>
      <c r="AC219" s="5"/>
      <c r="AD219" s="5"/>
      <c r="AE219" s="5"/>
    </row>
    <row r="220" spans="1:31" ht="14.25" customHeight="1">
      <c r="G220" s="43"/>
      <c r="H220" s="43"/>
      <c r="I220" s="43"/>
      <c r="AC220" s="5"/>
      <c r="AD220" s="5"/>
      <c r="AE220" s="5"/>
    </row>
    <row r="221" spans="1:31" ht="14.25" customHeight="1">
      <c r="G221" s="43"/>
      <c r="H221" s="43"/>
      <c r="I221" s="43"/>
      <c r="AC221" s="5"/>
      <c r="AD221" s="5"/>
      <c r="AE221" s="5"/>
    </row>
    <row r="222" spans="1:31" ht="14.25" customHeight="1">
      <c r="E222" s="29" t="s">
        <v>146</v>
      </c>
      <c r="F222" s="204">
        <f>F95+F100+F128+F135+F137+F138+F151+F156+F167+F171+F175+F179+F186+F194+F205+F208+F216+F219+F117</f>
        <v>10807671.195101999</v>
      </c>
      <c r="G222" s="204"/>
      <c r="H222" s="204"/>
      <c r="I222" s="204"/>
      <c r="J222" s="204"/>
      <c r="K222" s="204">
        <f>K95+K100+K128+K135+K137+K138+K151+K156+K167+K171+K175+K179+K186+K194+K205+K208+K216+K219+K117</f>
        <v>9214648.3300000001</v>
      </c>
      <c r="L222" s="204">
        <f>L95+L100+L128+L135+L137+L138+L151+L156+L167+L171+L175+L179+L186+L194+L205+L208+L216+L219+L117</f>
        <v>9809790.4686000012</v>
      </c>
      <c r="M222" s="204"/>
      <c r="N222" s="204"/>
      <c r="O222" s="204">
        <f t="shared" ref="O222:Z222" si="143">O95+O100+O128+O135+O137+O138+O151+O156+O167+O171+O175+O179+O186+O194+O205+O208+O216+O219+O117</f>
        <v>90000</v>
      </c>
      <c r="P222" s="204">
        <f t="shared" si="143"/>
        <v>98951.679999999993</v>
      </c>
      <c r="Q222" s="204">
        <f t="shared" si="143"/>
        <v>17.920000000000002</v>
      </c>
      <c r="R222" s="204">
        <f t="shared" si="143"/>
        <v>0</v>
      </c>
      <c r="S222" s="204">
        <f t="shared" si="143"/>
        <v>9500</v>
      </c>
      <c r="T222" s="204">
        <f t="shared" si="143"/>
        <v>258868.28000000003</v>
      </c>
      <c r="U222" s="204">
        <f t="shared" si="143"/>
        <v>1221843.828</v>
      </c>
      <c r="V222" s="204">
        <f t="shared" si="143"/>
        <v>1234800.3597199998</v>
      </c>
      <c r="W222" s="204">
        <f t="shared" si="143"/>
        <v>2729193.7735223863</v>
      </c>
      <c r="X222" s="204">
        <f t="shared" si="143"/>
        <v>875517.03784180281</v>
      </c>
      <c r="Y222" s="204">
        <f t="shared" si="143"/>
        <v>11444.665136101999</v>
      </c>
      <c r="Z222" s="204">
        <f t="shared" si="143"/>
        <v>16313340.437322289</v>
      </c>
      <c r="AC222" s="5"/>
      <c r="AD222" s="5"/>
      <c r="AE222" s="5"/>
    </row>
    <row r="223" spans="1:31" ht="14.25" customHeight="1">
      <c r="G223" s="43"/>
      <c r="H223" s="43"/>
      <c r="I223" s="43"/>
      <c r="AC223" s="5"/>
      <c r="AD223" s="5"/>
      <c r="AE223" s="5"/>
    </row>
    <row r="224" spans="1:31" ht="14.25" customHeight="1">
      <c r="E224" t="s">
        <v>495</v>
      </c>
      <c r="F224" s="104">
        <f>449400+200000+59500+15000+'FY23 Budget '!D74+'FY23 Budget '!D178+'FY23 Budget '!D229+'FY23 Budget '!D246+'FY23 Budget '!D257</f>
        <v>751900</v>
      </c>
      <c r="G224" s="43"/>
      <c r="H224" s="43"/>
      <c r="I224" s="43"/>
      <c r="AC224" s="5"/>
      <c r="AD224" s="5"/>
      <c r="AE224" s="5"/>
    </row>
    <row r="225" spans="1:31" ht="14.25" customHeight="1">
      <c r="G225" s="43"/>
      <c r="H225" s="43"/>
      <c r="I225" s="43"/>
      <c r="AC225" s="5"/>
      <c r="AD225" s="5"/>
      <c r="AE225" s="5"/>
    </row>
    <row r="226" spans="1:31" ht="14.25" customHeight="1">
      <c r="E226" t="s">
        <v>494</v>
      </c>
      <c r="F226" s="63">
        <f>F222+F224</f>
        <v>11559571.195101999</v>
      </c>
      <c r="G226" s="43"/>
      <c r="H226" s="43"/>
      <c r="I226" s="43"/>
      <c r="AC226" s="5"/>
      <c r="AD226" s="5"/>
      <c r="AE226" s="5"/>
    </row>
    <row r="227" spans="1:31" ht="14.25" customHeight="1">
      <c r="A227" s="1"/>
      <c r="B227" s="1"/>
      <c r="C227" s="1"/>
      <c r="D227" s="36"/>
      <c r="E227" s="37"/>
      <c r="F227" s="38"/>
      <c r="G227" s="39"/>
      <c r="H227" s="39"/>
      <c r="I227" s="39"/>
      <c r="J227" s="40"/>
      <c r="K227" s="40"/>
      <c r="L227" s="40"/>
      <c r="M227" s="40"/>
      <c r="N227" s="40"/>
      <c r="O227" s="41" t="s">
        <v>299</v>
      </c>
      <c r="P227" s="41"/>
      <c r="Q227" s="41"/>
      <c r="R227" s="41"/>
      <c r="S227" s="41"/>
      <c r="T227" s="41"/>
      <c r="U227" s="41"/>
      <c r="V227" s="40"/>
      <c r="W227" s="42"/>
      <c r="X227" s="40"/>
      <c r="Y227" s="42"/>
      <c r="Z227" s="42"/>
      <c r="AA227" s="44"/>
      <c r="AC227" s="5"/>
      <c r="AD227" s="5"/>
      <c r="AE227" s="5"/>
    </row>
    <row r="228" spans="1:31" ht="14.25" customHeight="1">
      <c r="A228" s="1"/>
      <c r="B228" s="1"/>
      <c r="C228" s="1"/>
      <c r="D228" s="36" t="s">
        <v>300</v>
      </c>
      <c r="E228" s="37"/>
      <c r="F228" s="38"/>
      <c r="G228" s="39"/>
      <c r="H228" s="39"/>
      <c r="I228" s="39"/>
      <c r="J228" s="40"/>
      <c r="K228" s="40"/>
      <c r="L228" s="40"/>
      <c r="M228" s="40"/>
      <c r="N228" s="40"/>
      <c r="O228" s="41"/>
      <c r="P228" s="41"/>
      <c r="Q228" s="41"/>
      <c r="R228" s="41"/>
      <c r="S228" s="41"/>
      <c r="T228" s="41"/>
      <c r="U228" s="41"/>
      <c r="V228" s="40"/>
      <c r="W228" s="42"/>
      <c r="X228" s="40"/>
      <c r="Y228" s="42"/>
      <c r="Z228" s="42"/>
      <c r="AC228" s="5"/>
      <c r="AD228" s="5"/>
      <c r="AE228" s="5"/>
    </row>
    <row r="229" spans="1:31" ht="14.25" customHeight="1">
      <c r="G229" s="43"/>
      <c r="H229" s="43"/>
      <c r="I229" s="43"/>
      <c r="AC229" s="5"/>
      <c r="AD229" s="5"/>
      <c r="AE229" s="5"/>
    </row>
    <row r="230" spans="1:31" ht="14.25" customHeight="1">
      <c r="G230" s="43"/>
      <c r="H230" s="43"/>
      <c r="I230" s="43"/>
      <c r="AC230" s="5"/>
      <c r="AD230" s="5"/>
      <c r="AE230" s="5"/>
    </row>
    <row r="231" spans="1:31" ht="14.25" customHeight="1">
      <c r="D231" s="45" t="s">
        <v>301</v>
      </c>
      <c r="E231" s="46"/>
      <c r="F231" s="47">
        <v>1191</v>
      </c>
      <c r="G231" s="48">
        <v>391500</v>
      </c>
      <c r="H231" s="49" t="s">
        <v>302</v>
      </c>
      <c r="I231" s="48">
        <v>381000</v>
      </c>
      <c r="AC231" s="5"/>
      <c r="AD231" s="5"/>
      <c r="AE231" s="5"/>
    </row>
    <row r="232" spans="1:31" ht="14.25" customHeight="1">
      <c r="D232" s="50"/>
      <c r="E232" s="51" t="s">
        <v>303</v>
      </c>
      <c r="F232" s="52"/>
      <c r="G232" s="48">
        <v>30000</v>
      </c>
      <c r="H232" s="49" t="s">
        <v>304</v>
      </c>
      <c r="I232" s="48">
        <v>50000</v>
      </c>
      <c r="AC232" s="5"/>
      <c r="AD232" s="5"/>
      <c r="AE232" s="5"/>
    </row>
    <row r="233" spans="1:31" ht="14.25" customHeight="1">
      <c r="D233" s="45" t="s">
        <v>305</v>
      </c>
      <c r="E233" s="49"/>
      <c r="F233" s="47">
        <v>5000</v>
      </c>
      <c r="G233" s="48">
        <v>28444.6</v>
      </c>
      <c r="H233" s="53" t="s">
        <v>306</v>
      </c>
      <c r="I233" s="48">
        <v>25500</v>
      </c>
      <c r="AC233" s="5"/>
      <c r="AD233" s="5"/>
      <c r="AE233" s="5"/>
    </row>
    <row r="234" spans="1:31" ht="14.25" customHeight="1">
      <c r="D234" s="50" t="s">
        <v>307</v>
      </c>
      <c r="E234" s="49"/>
      <c r="F234" s="47">
        <v>2000</v>
      </c>
      <c r="G234" s="48">
        <f>SUM(G231:G233)</f>
        <v>449944.6</v>
      </c>
      <c r="H234" s="49"/>
      <c r="I234" s="48">
        <f>SUM(I231:I233)</f>
        <v>456500</v>
      </c>
      <c r="AC234" s="5"/>
      <c r="AD234" s="5"/>
      <c r="AE234" s="5"/>
    </row>
    <row r="235" spans="1:31" ht="14.25" customHeight="1">
      <c r="D235" s="50" t="s">
        <v>307</v>
      </c>
      <c r="E235" s="54"/>
      <c r="F235" s="55">
        <v>2000</v>
      </c>
      <c r="G235" s="50"/>
      <c r="H235" s="50"/>
      <c r="I235" s="50"/>
      <c r="AC235" s="5"/>
      <c r="AD235" s="5"/>
      <c r="AE235" s="5"/>
    </row>
    <row r="236" spans="1:31" ht="14.25" customHeight="1">
      <c r="D236" s="54" t="s">
        <v>308</v>
      </c>
      <c r="E236" s="54" t="s">
        <v>309</v>
      </c>
      <c r="F236" s="52"/>
      <c r="G236" s="43"/>
      <c r="H236" s="43"/>
      <c r="I236" s="43"/>
      <c r="AC236" s="5"/>
      <c r="AD236" s="5"/>
      <c r="AE236" s="5"/>
    </row>
    <row r="237" spans="1:31" ht="14.25" customHeight="1">
      <c r="D237" s="56" t="s">
        <v>310</v>
      </c>
      <c r="E237" s="45" t="s">
        <v>311</v>
      </c>
      <c r="F237" s="48">
        <v>15000</v>
      </c>
      <c r="G237" s="43"/>
      <c r="H237" s="43"/>
      <c r="I237" s="43"/>
      <c r="AC237" s="5"/>
      <c r="AD237" s="5"/>
      <c r="AE237" s="5"/>
    </row>
    <row r="238" spans="1:31" ht="14.25" customHeight="1">
      <c r="D238" s="56" t="s">
        <v>312</v>
      </c>
      <c r="E238" s="45" t="s">
        <v>313</v>
      </c>
      <c r="F238" s="48">
        <v>10000</v>
      </c>
      <c r="G238" s="43"/>
      <c r="H238" s="43"/>
      <c r="I238" s="43"/>
      <c r="AC238" s="5"/>
      <c r="AD238" s="5"/>
      <c r="AE238" s="5"/>
    </row>
    <row r="239" spans="1:31" ht="14.25" customHeight="1">
      <c r="D239" s="56" t="s">
        <v>314</v>
      </c>
      <c r="E239" s="45" t="s">
        <v>315</v>
      </c>
      <c r="F239" s="48">
        <v>10000</v>
      </c>
      <c r="G239" s="43"/>
      <c r="H239" s="43"/>
      <c r="I239" s="43"/>
      <c r="AC239" s="5"/>
      <c r="AD239" s="5"/>
      <c r="AE239" s="5"/>
    </row>
    <row r="240" spans="1:31" ht="14.25" customHeight="1">
      <c r="D240" s="56" t="s">
        <v>316</v>
      </c>
      <c r="E240" s="45" t="s">
        <v>317</v>
      </c>
      <c r="F240" s="48">
        <v>7500</v>
      </c>
      <c r="G240" s="43"/>
      <c r="H240" s="43"/>
      <c r="I240" s="43"/>
      <c r="AC240" s="5"/>
      <c r="AD240" s="5"/>
      <c r="AE240" s="5"/>
    </row>
    <row r="241" spans="4:31" ht="14.25" customHeight="1">
      <c r="D241" s="56" t="s">
        <v>318</v>
      </c>
      <c r="E241" s="57" t="s">
        <v>319</v>
      </c>
      <c r="F241" s="48">
        <v>7500</v>
      </c>
      <c r="G241" s="43"/>
      <c r="H241" s="43"/>
      <c r="I241" s="43"/>
      <c r="AC241" s="5"/>
      <c r="AD241" s="5"/>
      <c r="AE241" s="5"/>
    </row>
    <row r="242" spans="4:31" ht="14.25" customHeight="1">
      <c r="D242" s="56" t="s">
        <v>320</v>
      </c>
      <c r="E242" s="45" t="s">
        <v>321</v>
      </c>
      <c r="F242" s="48">
        <v>7500</v>
      </c>
      <c r="G242" s="43"/>
      <c r="H242" s="43"/>
      <c r="I242" s="43"/>
      <c r="AC242" s="5"/>
      <c r="AD242" s="5"/>
      <c r="AE242" s="5"/>
    </row>
    <row r="243" spans="4:31" ht="14.25" customHeight="1">
      <c r="D243" s="56" t="s">
        <v>322</v>
      </c>
      <c r="E243" s="58" t="s">
        <v>323</v>
      </c>
      <c r="F243" s="48">
        <v>7500</v>
      </c>
      <c r="G243" s="43"/>
      <c r="H243" s="43"/>
      <c r="I243" s="43"/>
      <c r="AC243" s="5"/>
      <c r="AD243" s="5"/>
      <c r="AE243" s="5"/>
    </row>
    <row r="244" spans="4:31" ht="14.25" customHeight="1">
      <c r="D244" s="56" t="s">
        <v>324</v>
      </c>
      <c r="E244" s="56" t="s">
        <v>325</v>
      </c>
      <c r="F244" s="48">
        <v>7500</v>
      </c>
      <c r="G244" s="43"/>
      <c r="H244" s="43"/>
      <c r="I244" s="43"/>
      <c r="AC244" s="5"/>
      <c r="AD244" s="5"/>
      <c r="AE244" s="5"/>
    </row>
    <row r="245" spans="4:31" ht="14.25" customHeight="1">
      <c r="D245" s="56" t="s">
        <v>326</v>
      </c>
      <c r="E245" s="56" t="s">
        <v>327</v>
      </c>
      <c r="F245" s="48">
        <v>7500</v>
      </c>
      <c r="G245" s="43"/>
      <c r="H245" s="43"/>
      <c r="I245" s="43"/>
      <c r="AC245" s="5"/>
      <c r="AD245" s="5"/>
      <c r="AE245" s="5"/>
    </row>
    <row r="246" spans="4:31" ht="14.25" customHeight="1">
      <c r="D246" s="56" t="s">
        <v>328</v>
      </c>
      <c r="E246" s="56" t="s">
        <v>329</v>
      </c>
      <c r="F246" s="48">
        <v>7500</v>
      </c>
      <c r="G246" s="43"/>
      <c r="H246" s="43"/>
      <c r="I246" s="43"/>
      <c r="AC246" s="5"/>
      <c r="AD246" s="5"/>
      <c r="AE246" s="5"/>
    </row>
    <row r="247" spans="4:31" ht="14.25" customHeight="1">
      <c r="D247" s="56" t="s">
        <v>330</v>
      </c>
      <c r="E247" s="58" t="s">
        <v>331</v>
      </c>
      <c r="F247" s="48">
        <v>7500</v>
      </c>
      <c r="G247" s="43"/>
      <c r="H247" s="43"/>
      <c r="I247" s="43"/>
      <c r="AC247" s="5"/>
      <c r="AD247" s="5"/>
      <c r="AE247" s="5"/>
    </row>
    <row r="248" spans="4:31" ht="14.25" customHeight="1">
      <c r="D248" s="56" t="s">
        <v>332</v>
      </c>
      <c r="E248" s="56" t="s">
        <v>333</v>
      </c>
      <c r="F248" s="48">
        <v>8000</v>
      </c>
      <c r="G248" s="43"/>
      <c r="H248" s="43"/>
      <c r="I248" s="43"/>
      <c r="AC248" s="5"/>
      <c r="AD248" s="5"/>
      <c r="AE248" s="5"/>
    </row>
    <row r="249" spans="4:31" ht="14.25" customHeight="1">
      <c r="D249" s="56" t="s">
        <v>334</v>
      </c>
      <c r="E249" s="59" t="s">
        <v>335</v>
      </c>
      <c r="F249" s="48">
        <v>7500</v>
      </c>
      <c r="G249" s="43"/>
      <c r="H249" s="43"/>
      <c r="I249" s="43"/>
      <c r="AC249" s="5"/>
      <c r="AD249" s="5"/>
      <c r="AE249" s="5"/>
    </row>
    <row r="250" spans="4:31" ht="14.25" customHeight="1">
      <c r="D250" s="56" t="s">
        <v>336</v>
      </c>
      <c r="E250" s="56" t="s">
        <v>337</v>
      </c>
      <c r="F250" s="48">
        <v>7500</v>
      </c>
      <c r="G250" s="43"/>
      <c r="H250" s="43"/>
      <c r="I250" s="43"/>
      <c r="AC250" s="5"/>
      <c r="AD250" s="5"/>
      <c r="AE250" s="5"/>
    </row>
    <row r="251" spans="4:31" ht="14.25" customHeight="1">
      <c r="D251" s="56" t="s">
        <v>338</v>
      </c>
      <c r="E251" s="45"/>
      <c r="F251" s="48">
        <v>7500</v>
      </c>
      <c r="G251" s="43"/>
      <c r="H251" s="43"/>
      <c r="I251" s="43"/>
      <c r="AC251" s="5"/>
      <c r="AD251" s="5"/>
      <c r="AE251" s="5"/>
    </row>
    <row r="252" spans="4:31" ht="14.25" customHeight="1">
      <c r="D252" s="56" t="s">
        <v>339</v>
      </c>
      <c r="E252" s="56" t="s">
        <v>340</v>
      </c>
      <c r="F252" s="48">
        <v>6500</v>
      </c>
      <c r="G252" s="43"/>
      <c r="H252" s="43"/>
      <c r="I252" s="43"/>
      <c r="AC252" s="5"/>
      <c r="AD252" s="5"/>
      <c r="AE252" s="5"/>
    </row>
    <row r="253" spans="4:31" ht="14.25" customHeight="1">
      <c r="D253" s="56" t="s">
        <v>341</v>
      </c>
      <c r="E253" s="56" t="s">
        <v>342</v>
      </c>
      <c r="F253" s="48">
        <v>5000</v>
      </c>
      <c r="G253" s="43"/>
      <c r="H253" s="43"/>
      <c r="I253" s="43"/>
      <c r="AC253" s="5"/>
      <c r="AD253" s="5"/>
      <c r="AE253" s="5"/>
    </row>
    <row r="254" spans="4:31" ht="14.25" customHeight="1">
      <c r="D254" s="56" t="s">
        <v>343</v>
      </c>
      <c r="E254" s="56" t="s">
        <v>344</v>
      </c>
      <c r="F254" s="48">
        <v>5000</v>
      </c>
      <c r="G254" s="43"/>
      <c r="H254" s="43"/>
      <c r="I254" s="43"/>
      <c r="AC254" s="5"/>
      <c r="AD254" s="5"/>
      <c r="AE254" s="5"/>
    </row>
    <row r="255" spans="4:31" ht="14.25" customHeight="1">
      <c r="D255" s="56" t="s">
        <v>343</v>
      </c>
      <c r="E255" s="56" t="s">
        <v>345</v>
      </c>
      <c r="F255" s="48">
        <v>5000</v>
      </c>
      <c r="G255" s="43"/>
      <c r="H255" s="43"/>
      <c r="I255" s="43"/>
      <c r="AC255" s="5"/>
      <c r="AD255" s="5"/>
      <c r="AE255" s="5"/>
    </row>
    <row r="256" spans="4:31" ht="14.25" customHeight="1">
      <c r="D256" s="56" t="s">
        <v>346</v>
      </c>
      <c r="E256" s="45" t="s">
        <v>347</v>
      </c>
      <c r="F256" s="48">
        <v>7000</v>
      </c>
      <c r="G256" s="43"/>
      <c r="H256" s="43"/>
      <c r="I256" s="43"/>
      <c r="AC256" s="5"/>
      <c r="AD256" s="5"/>
      <c r="AE256" s="5"/>
    </row>
    <row r="257" spans="4:31" ht="14.25" customHeight="1">
      <c r="D257" s="56" t="s">
        <v>348</v>
      </c>
      <c r="E257" s="45" t="s">
        <v>349</v>
      </c>
      <c r="F257" s="48">
        <v>7000</v>
      </c>
      <c r="G257" s="43"/>
      <c r="H257" s="43"/>
      <c r="I257" s="43"/>
      <c r="AC257" s="5"/>
      <c r="AD257" s="5"/>
      <c r="AE257" s="5"/>
    </row>
    <row r="258" spans="4:31" ht="14.25" customHeight="1">
      <c r="D258" s="56" t="s">
        <v>350</v>
      </c>
      <c r="E258" s="45" t="s">
        <v>351</v>
      </c>
      <c r="F258" s="48">
        <v>3000</v>
      </c>
      <c r="G258" s="43"/>
      <c r="H258" s="43"/>
      <c r="I258" s="43"/>
      <c r="AC258" s="5"/>
      <c r="AD258" s="5"/>
      <c r="AE258" s="5"/>
    </row>
    <row r="259" spans="4:31" ht="14.25" customHeight="1">
      <c r="D259" s="56" t="s">
        <v>352</v>
      </c>
      <c r="E259" s="45" t="s">
        <v>353</v>
      </c>
      <c r="F259" s="48">
        <v>5000</v>
      </c>
      <c r="G259" s="43"/>
      <c r="H259" s="43"/>
      <c r="I259" s="43"/>
      <c r="AC259" s="5"/>
      <c r="AD259" s="5"/>
      <c r="AE259" s="5"/>
    </row>
    <row r="260" spans="4:31" ht="14.25" customHeight="1">
      <c r="D260" s="56" t="s">
        <v>354</v>
      </c>
      <c r="E260" s="45"/>
      <c r="F260" s="48">
        <v>4000</v>
      </c>
      <c r="G260" s="43"/>
      <c r="H260" s="43"/>
      <c r="I260" s="43"/>
      <c r="AC260" s="5"/>
      <c r="AD260" s="5"/>
      <c r="AE260" s="5"/>
    </row>
    <row r="261" spans="4:31" ht="14.25" customHeight="1">
      <c r="D261" s="56" t="s">
        <v>355</v>
      </c>
      <c r="E261" s="45" t="s">
        <v>356</v>
      </c>
      <c r="F261" s="48">
        <v>5000</v>
      </c>
      <c r="G261" s="43"/>
      <c r="H261" s="43"/>
      <c r="I261" s="43"/>
      <c r="AC261" s="5"/>
      <c r="AD261" s="5"/>
      <c r="AE261" s="5"/>
    </row>
    <row r="262" spans="4:31" ht="14.25" customHeight="1">
      <c r="D262" s="56" t="s">
        <v>354</v>
      </c>
      <c r="E262" s="45"/>
      <c r="F262" s="48">
        <v>2500</v>
      </c>
      <c r="G262" s="43"/>
      <c r="H262" s="43"/>
      <c r="I262" s="43"/>
      <c r="AC262" s="5"/>
      <c r="AD262" s="5"/>
      <c r="AE262" s="5"/>
    </row>
    <row r="263" spans="4:31" ht="14.25" customHeight="1">
      <c r="D263" s="56" t="s">
        <v>357</v>
      </c>
      <c r="E263" s="45" t="s">
        <v>358</v>
      </c>
      <c r="F263" s="48">
        <v>5000</v>
      </c>
      <c r="G263" s="43"/>
      <c r="H263" s="43"/>
      <c r="I263" s="43"/>
      <c r="AC263" s="5"/>
      <c r="AD263" s="5"/>
      <c r="AE263" s="5"/>
    </row>
    <row r="264" spans="4:31" ht="14.25" customHeight="1">
      <c r="D264" s="56" t="s">
        <v>354</v>
      </c>
      <c r="E264" s="60"/>
      <c r="F264" s="48">
        <v>2500</v>
      </c>
      <c r="G264" s="43"/>
      <c r="H264" s="43"/>
      <c r="I264" s="43"/>
      <c r="AC264" s="5"/>
      <c r="AD264" s="5"/>
      <c r="AE264" s="5"/>
    </row>
    <row r="265" spans="4:31" ht="14.25" customHeight="1">
      <c r="D265" s="56" t="s">
        <v>359</v>
      </c>
      <c r="E265" s="60" t="s">
        <v>360</v>
      </c>
      <c r="F265" s="48">
        <v>4000</v>
      </c>
      <c r="G265" s="43"/>
      <c r="H265" s="43"/>
      <c r="I265" s="43"/>
      <c r="AC265" s="5"/>
      <c r="AD265" s="5"/>
      <c r="AE265" s="5"/>
    </row>
    <row r="266" spans="4:31" ht="14.25" customHeight="1">
      <c r="D266" s="56" t="s">
        <v>361</v>
      </c>
      <c r="E266" s="57" t="s">
        <v>362</v>
      </c>
      <c r="F266" s="48">
        <v>4000</v>
      </c>
      <c r="G266" s="43"/>
      <c r="H266" s="43"/>
      <c r="I266" s="43"/>
      <c r="AC266" s="5"/>
      <c r="AD266" s="5"/>
      <c r="AE266" s="5"/>
    </row>
    <row r="267" spans="4:31" ht="14.25" customHeight="1">
      <c r="D267" s="56" t="s">
        <v>354</v>
      </c>
      <c r="E267" s="45"/>
      <c r="F267" s="48">
        <v>4000</v>
      </c>
      <c r="G267" s="43"/>
      <c r="H267" s="43"/>
      <c r="I267" s="43"/>
      <c r="AC267" s="5"/>
      <c r="AD267" s="5"/>
      <c r="AE267" s="5"/>
    </row>
    <row r="268" spans="4:31" ht="14.25" customHeight="1">
      <c r="D268" s="56" t="s">
        <v>363</v>
      </c>
      <c r="E268" s="45" t="s">
        <v>364</v>
      </c>
      <c r="F268" s="48">
        <v>6000</v>
      </c>
      <c r="G268" s="43"/>
      <c r="H268" s="43"/>
      <c r="I268" s="43"/>
      <c r="AC268" s="5"/>
      <c r="AD268" s="5"/>
      <c r="AE268" s="5"/>
    </row>
    <row r="269" spans="4:31" ht="14.25" customHeight="1">
      <c r="D269" s="56" t="s">
        <v>354</v>
      </c>
      <c r="E269" s="45"/>
      <c r="F269" s="48">
        <v>10000</v>
      </c>
      <c r="G269" s="43"/>
      <c r="H269" s="43"/>
      <c r="I269" s="43"/>
      <c r="AC269" s="5"/>
      <c r="AD269" s="5"/>
      <c r="AE269" s="5"/>
    </row>
    <row r="270" spans="4:31" ht="14.25" customHeight="1">
      <c r="D270" s="56" t="s">
        <v>365</v>
      </c>
      <c r="E270" s="45"/>
      <c r="F270" s="48">
        <v>2500</v>
      </c>
      <c r="G270" s="43"/>
      <c r="H270" s="43"/>
      <c r="I270" s="43"/>
      <c r="AC270" s="5"/>
      <c r="AD270" s="5"/>
      <c r="AE270" s="5"/>
    </row>
    <row r="271" spans="4:31" ht="14.25" customHeight="1">
      <c r="D271" s="56" t="s">
        <v>354</v>
      </c>
      <c r="E271" s="45"/>
      <c r="F271" s="48">
        <v>1000</v>
      </c>
      <c r="G271" s="43"/>
      <c r="H271" s="43"/>
      <c r="I271" s="43"/>
      <c r="AC271" s="5"/>
      <c r="AD271" s="5"/>
      <c r="AE271" s="5"/>
    </row>
    <row r="272" spans="4:31" ht="14.25" customHeight="1">
      <c r="D272" s="56" t="s">
        <v>366</v>
      </c>
      <c r="E272" s="45" t="s">
        <v>367</v>
      </c>
      <c r="F272" s="48">
        <v>11500</v>
      </c>
      <c r="G272" s="43"/>
      <c r="H272" s="43"/>
      <c r="I272" s="43"/>
      <c r="AC272" s="5"/>
      <c r="AD272" s="5"/>
      <c r="AE272" s="5"/>
    </row>
    <row r="273" spans="4:31" ht="14.25" customHeight="1">
      <c r="D273" s="56" t="s">
        <v>354</v>
      </c>
      <c r="E273" s="45"/>
      <c r="F273" s="48">
        <v>12000</v>
      </c>
      <c r="G273" s="43"/>
      <c r="H273" s="43"/>
      <c r="I273" s="43"/>
      <c r="AC273" s="5"/>
      <c r="AD273" s="5"/>
      <c r="AE273" s="5"/>
    </row>
    <row r="274" spans="4:31" ht="14.25" customHeight="1">
      <c r="D274" s="56" t="s">
        <v>368</v>
      </c>
      <c r="E274" s="45" t="s">
        <v>369</v>
      </c>
      <c r="F274" s="48">
        <v>11000</v>
      </c>
      <c r="G274" s="43"/>
      <c r="H274" s="43"/>
      <c r="I274" s="43"/>
      <c r="AC274" s="5"/>
      <c r="AD274" s="5"/>
      <c r="AE274" s="5"/>
    </row>
    <row r="275" spans="4:31" ht="14.25" customHeight="1">
      <c r="D275" s="45" t="s">
        <v>354</v>
      </c>
      <c r="E275" s="45"/>
      <c r="F275" s="48">
        <v>12000</v>
      </c>
      <c r="G275" s="43"/>
      <c r="H275" s="43"/>
      <c r="I275" s="43"/>
      <c r="AC275" s="5"/>
      <c r="AD275" s="5"/>
      <c r="AE275" s="5"/>
    </row>
    <row r="276" spans="4:31" ht="14.25" customHeight="1">
      <c r="D276" s="45" t="s">
        <v>370</v>
      </c>
      <c r="E276" s="45" t="s">
        <v>371</v>
      </c>
      <c r="F276" s="48">
        <v>6000</v>
      </c>
      <c r="G276" s="43"/>
      <c r="H276" s="43"/>
      <c r="I276" s="43"/>
      <c r="AC276" s="5"/>
      <c r="AD276" s="5"/>
      <c r="AE276" s="5"/>
    </row>
    <row r="277" spans="4:31" ht="14.25" customHeight="1">
      <c r="D277" s="45" t="s">
        <v>354</v>
      </c>
      <c r="E277" s="45"/>
      <c r="F277" s="48">
        <v>6000</v>
      </c>
      <c r="G277" s="43"/>
      <c r="H277" s="43"/>
      <c r="I277" s="43"/>
      <c r="AC277" s="5"/>
      <c r="AD277" s="5"/>
      <c r="AE277" s="5"/>
    </row>
    <row r="278" spans="4:31" ht="14.25" customHeight="1">
      <c r="D278" s="56" t="s">
        <v>372</v>
      </c>
      <c r="E278" s="56" t="s">
        <v>373</v>
      </c>
      <c r="F278" s="48">
        <v>5000</v>
      </c>
      <c r="G278" s="43"/>
      <c r="H278" s="43"/>
      <c r="I278" s="43"/>
      <c r="AC278" s="5"/>
      <c r="AD278" s="5"/>
      <c r="AE278" s="5"/>
    </row>
    <row r="279" spans="4:31" ht="14.25" customHeight="1">
      <c r="D279" s="45" t="s">
        <v>354</v>
      </c>
      <c r="E279" s="45"/>
      <c r="F279" s="48">
        <v>2500</v>
      </c>
      <c r="G279" s="43"/>
      <c r="H279" s="43"/>
      <c r="I279" s="43"/>
      <c r="AC279" s="5"/>
      <c r="AD279" s="5"/>
      <c r="AE279" s="5"/>
    </row>
    <row r="280" spans="4:31" ht="14.25" customHeight="1">
      <c r="D280" s="56" t="s">
        <v>374</v>
      </c>
      <c r="E280" s="45" t="s">
        <v>375</v>
      </c>
      <c r="F280" s="48">
        <v>10500</v>
      </c>
      <c r="G280" s="43"/>
      <c r="H280" s="43"/>
      <c r="I280" s="43"/>
      <c r="AC280" s="5"/>
      <c r="AD280" s="5"/>
      <c r="AE280" s="5"/>
    </row>
    <row r="281" spans="4:31" ht="14.25" customHeight="1">
      <c r="D281" s="45" t="s">
        <v>354</v>
      </c>
      <c r="E281" s="45"/>
      <c r="F281" s="48">
        <v>11000</v>
      </c>
      <c r="G281" s="43"/>
      <c r="H281" s="43"/>
      <c r="I281" s="43"/>
      <c r="AC281" s="5"/>
      <c r="AD281" s="5"/>
      <c r="AE281" s="5"/>
    </row>
    <row r="282" spans="4:31" ht="14.25" customHeight="1">
      <c r="D282" s="45" t="s">
        <v>376</v>
      </c>
      <c r="E282" s="45" t="s">
        <v>377</v>
      </c>
      <c r="F282" s="48">
        <v>6000</v>
      </c>
      <c r="G282" s="43"/>
      <c r="H282" s="43"/>
      <c r="I282" s="43"/>
      <c r="AC282" s="5"/>
      <c r="AD282" s="5"/>
      <c r="AE282" s="5"/>
    </row>
    <row r="283" spans="4:31" ht="14.25" customHeight="1">
      <c r="D283" s="45" t="s">
        <v>354</v>
      </c>
      <c r="E283" s="61"/>
      <c r="F283" s="48">
        <v>11000</v>
      </c>
      <c r="G283" s="43"/>
      <c r="H283" s="43"/>
      <c r="I283" s="43"/>
      <c r="AC283" s="5"/>
      <c r="AD283" s="5"/>
      <c r="AE283" s="5"/>
    </row>
    <row r="284" spans="4:31" ht="14.25" customHeight="1">
      <c r="D284" s="56" t="s">
        <v>378</v>
      </c>
      <c r="E284" s="61" t="s">
        <v>379</v>
      </c>
      <c r="F284" s="48">
        <v>6000</v>
      </c>
      <c r="G284" s="43"/>
      <c r="H284" s="43"/>
      <c r="I284" s="43"/>
      <c r="AC284" s="5"/>
      <c r="AD284" s="5"/>
      <c r="AE284" s="5"/>
    </row>
    <row r="285" spans="4:31" ht="14.25" customHeight="1">
      <c r="D285" s="56" t="s">
        <v>354</v>
      </c>
      <c r="E285" s="61"/>
      <c r="F285" s="48">
        <v>8000</v>
      </c>
      <c r="G285" s="43"/>
      <c r="H285" s="43"/>
      <c r="I285" s="43"/>
      <c r="AC285" s="5"/>
      <c r="AD285" s="5"/>
      <c r="AE285" s="5"/>
    </row>
    <row r="286" spans="4:31" ht="14.25" customHeight="1">
      <c r="D286" s="56" t="s">
        <v>380</v>
      </c>
      <c r="E286" s="61" t="s">
        <v>381</v>
      </c>
      <c r="F286" s="48">
        <v>6000</v>
      </c>
      <c r="G286" s="43"/>
      <c r="H286" s="43"/>
      <c r="I286" s="43"/>
      <c r="AC286" s="5"/>
      <c r="AD286" s="5"/>
      <c r="AE286" s="5"/>
    </row>
    <row r="287" spans="4:31" ht="14.25" customHeight="1">
      <c r="D287" s="45" t="s">
        <v>354</v>
      </c>
      <c r="E287" s="45"/>
      <c r="F287" s="48">
        <v>8000</v>
      </c>
      <c r="G287" s="43"/>
      <c r="H287" s="43"/>
      <c r="I287" s="43"/>
      <c r="AC287" s="5"/>
      <c r="AD287" s="5"/>
      <c r="AE287" s="5"/>
    </row>
    <row r="288" spans="4:31" ht="14.25" customHeight="1">
      <c r="D288" s="45" t="s">
        <v>382</v>
      </c>
      <c r="E288" s="45" t="s">
        <v>358</v>
      </c>
      <c r="F288" s="48">
        <v>5000</v>
      </c>
      <c r="G288" s="43"/>
      <c r="H288" s="43"/>
      <c r="I288" s="43"/>
      <c r="AC288" s="5"/>
      <c r="AD288" s="5"/>
      <c r="AE288" s="5"/>
    </row>
    <row r="289" spans="4:31" ht="14.25" customHeight="1">
      <c r="D289" s="45" t="s">
        <v>354</v>
      </c>
      <c r="E289" s="45"/>
      <c r="F289" s="48">
        <v>2500</v>
      </c>
      <c r="G289" s="43"/>
      <c r="H289" s="43"/>
      <c r="I289" s="43"/>
      <c r="AC289" s="5"/>
      <c r="AD289" s="5"/>
      <c r="AE289" s="5"/>
    </row>
    <row r="290" spans="4:31" ht="14.25" customHeight="1">
      <c r="D290" s="45" t="s">
        <v>383</v>
      </c>
      <c r="E290" s="45" t="s">
        <v>384</v>
      </c>
      <c r="F290" s="48">
        <v>5000</v>
      </c>
      <c r="G290" s="43"/>
      <c r="H290" s="43"/>
      <c r="I290" s="43"/>
      <c r="AC290" s="5"/>
      <c r="AD290" s="5"/>
      <c r="AE290" s="5"/>
    </row>
    <row r="291" spans="4:31" ht="14.25" customHeight="1">
      <c r="D291" s="45" t="s">
        <v>385</v>
      </c>
      <c r="E291" s="45" t="s">
        <v>386</v>
      </c>
      <c r="F291" s="48">
        <v>5000</v>
      </c>
      <c r="G291" s="43"/>
      <c r="H291" s="43"/>
      <c r="I291" s="43"/>
      <c r="AC291" s="5"/>
      <c r="AD291" s="5"/>
      <c r="AE291" s="5"/>
    </row>
    <row r="292" spans="4:31" ht="14.25" customHeight="1">
      <c r="D292" s="45" t="s">
        <v>354</v>
      </c>
      <c r="E292" s="62"/>
      <c r="F292" s="48">
        <v>6000</v>
      </c>
      <c r="G292" s="43"/>
      <c r="H292" s="43"/>
      <c r="I292" s="43"/>
      <c r="AC292" s="5"/>
      <c r="AD292" s="5"/>
      <c r="AE292" s="5"/>
    </row>
    <row r="293" spans="4:31" ht="14.25" customHeight="1">
      <c r="D293" s="45" t="s">
        <v>387</v>
      </c>
      <c r="E293" s="62" t="s">
        <v>388</v>
      </c>
      <c r="F293" s="48">
        <v>5000</v>
      </c>
      <c r="G293" s="43"/>
      <c r="H293" s="43"/>
      <c r="I293" s="43"/>
      <c r="AC293" s="5"/>
      <c r="AD293" s="5"/>
      <c r="AE293" s="5"/>
    </row>
    <row r="294" spans="4:31" ht="14.25" customHeight="1">
      <c r="D294" s="45" t="s">
        <v>354</v>
      </c>
      <c r="E294" s="62"/>
      <c r="F294" s="48">
        <v>3000</v>
      </c>
      <c r="G294" s="43"/>
      <c r="H294" s="43"/>
      <c r="I294" s="43"/>
      <c r="AC294" s="5"/>
      <c r="AD294" s="5"/>
      <c r="AE294" s="5"/>
    </row>
    <row r="295" spans="4:31" ht="14.25" customHeight="1">
      <c r="D295" s="56" t="s">
        <v>389</v>
      </c>
      <c r="E295" s="62" t="s">
        <v>390</v>
      </c>
      <c r="F295" s="48">
        <v>5000</v>
      </c>
      <c r="G295" s="43"/>
      <c r="H295" s="43"/>
      <c r="I295" s="43"/>
      <c r="AC295" s="5"/>
      <c r="AD295" s="5"/>
      <c r="AE295" s="5"/>
    </row>
    <row r="296" spans="4:31" ht="14.25" customHeight="1">
      <c r="D296" s="45" t="s">
        <v>354</v>
      </c>
      <c r="E296" s="49"/>
      <c r="F296" s="48">
        <v>3000</v>
      </c>
      <c r="G296" s="43"/>
      <c r="H296" s="43"/>
      <c r="I296" s="43"/>
      <c r="AC296" s="5"/>
      <c r="AD296" s="5"/>
      <c r="AE296" s="5"/>
    </row>
    <row r="297" spans="4:31" ht="14.25" customHeight="1">
      <c r="D297" s="41"/>
      <c r="E297" s="49" t="s">
        <v>302</v>
      </c>
      <c r="F297" s="48">
        <f>SUM(F237:F296)</f>
        <v>391500</v>
      </c>
      <c r="G297" s="43"/>
      <c r="H297" s="43"/>
      <c r="I297" s="43"/>
      <c r="AC297" s="5"/>
      <c r="AD297" s="5"/>
      <c r="AE297" s="5"/>
    </row>
    <row r="298" spans="4:31" ht="14.25" customHeight="1">
      <c r="D298" s="41"/>
      <c r="E298" s="49" t="s">
        <v>304</v>
      </c>
      <c r="F298" s="48">
        <v>30000</v>
      </c>
      <c r="G298" s="43"/>
      <c r="H298" s="43"/>
      <c r="I298" s="43"/>
      <c r="AC298" s="5"/>
      <c r="AD298" s="5"/>
      <c r="AE298" s="5"/>
    </row>
    <row r="299" spans="4:31" ht="14.25" customHeight="1">
      <c r="D299" s="41"/>
      <c r="E299" s="53" t="s">
        <v>306</v>
      </c>
      <c r="F299" s="48">
        <v>28444.6</v>
      </c>
      <c r="G299" s="43"/>
      <c r="H299" s="43"/>
      <c r="I299" s="43"/>
      <c r="P299" s="5">
        <v>120000</v>
      </c>
      <c r="Q299" t="s">
        <v>391</v>
      </c>
      <c r="AC299" s="5"/>
      <c r="AD299" s="5"/>
      <c r="AE299" s="5"/>
    </row>
    <row r="300" spans="4:31" ht="14.25" customHeight="1">
      <c r="D300" s="41"/>
      <c r="E300" s="49"/>
      <c r="F300" s="48">
        <f>SUM(F297:F299)</f>
        <v>449944.6</v>
      </c>
      <c r="G300" s="43"/>
      <c r="H300" s="43"/>
      <c r="I300" s="43"/>
      <c r="P300" s="63">
        <f>F300-120000</f>
        <v>329944.59999999998</v>
      </c>
      <c r="Q300" s="63">
        <f>P300*0.2181</f>
        <v>71960.917259999987</v>
      </c>
      <c r="R300" t="s">
        <v>392</v>
      </c>
      <c r="AC300" s="5"/>
      <c r="AD300" s="5"/>
      <c r="AE300" s="5"/>
    </row>
    <row r="301" spans="4:31" ht="14.25" customHeight="1">
      <c r="E301" s="64"/>
      <c r="F301" s="65"/>
      <c r="G301" s="43"/>
      <c r="H301" s="43"/>
      <c r="I301" s="43"/>
      <c r="Q301" s="63">
        <f>P300*0.0765</f>
        <v>25240.761899999998</v>
      </c>
      <c r="R301" t="s">
        <v>393</v>
      </c>
      <c r="AC301" s="5"/>
      <c r="AD301" s="5"/>
      <c r="AE301" s="5"/>
    </row>
    <row r="302" spans="4:31" ht="14.25" customHeight="1">
      <c r="E302" s="64"/>
      <c r="F302" s="65"/>
      <c r="G302" s="43"/>
      <c r="H302" s="43"/>
      <c r="I302" s="43"/>
      <c r="AC302" s="5"/>
      <c r="AD302" s="5"/>
      <c r="AE302" s="5"/>
    </row>
    <row r="303" spans="4:31" ht="14.25" customHeight="1">
      <c r="E303" s="64" t="s">
        <v>394</v>
      </c>
      <c r="F303" s="66">
        <v>381000</v>
      </c>
      <c r="G303" s="43"/>
      <c r="H303" s="43"/>
      <c r="I303" s="43"/>
      <c r="AC303" s="5"/>
      <c r="AD303" s="5"/>
      <c r="AE303" s="5"/>
    </row>
    <row r="304" spans="4:31" ht="14.25" customHeight="1">
      <c r="E304" s="64"/>
      <c r="F304" s="67">
        <v>50000</v>
      </c>
      <c r="G304" s="43"/>
      <c r="H304" s="43"/>
      <c r="I304" s="43"/>
      <c r="AC304" s="5"/>
      <c r="AD304" s="5"/>
      <c r="AE304" s="5"/>
    </row>
    <row r="305" spans="5:31" ht="14.25" customHeight="1">
      <c r="E305" s="64"/>
      <c r="F305" s="67">
        <v>25500</v>
      </c>
      <c r="G305" s="43"/>
      <c r="H305" s="43"/>
      <c r="I305" s="43"/>
      <c r="AC305" s="5"/>
      <c r="AD305" s="5"/>
      <c r="AE305" s="5"/>
    </row>
    <row r="306" spans="5:31" ht="14.25" customHeight="1">
      <c r="E306" s="64"/>
      <c r="F306" s="67">
        <f>SUM(F303:F305)</f>
        <v>456500</v>
      </c>
      <c r="G306" s="43"/>
      <c r="H306" s="43"/>
      <c r="I306" s="43"/>
      <c r="AC306" s="5"/>
      <c r="AD306" s="5"/>
      <c r="AE306" s="5"/>
    </row>
    <row r="307" spans="5:31" ht="14.25" customHeight="1">
      <c r="G307" s="43"/>
      <c r="H307" s="43"/>
      <c r="I307" s="43"/>
      <c r="AC307" s="5"/>
      <c r="AD307" s="5"/>
      <c r="AE307" s="5"/>
    </row>
    <row r="308" spans="5:31" ht="14.25" customHeight="1">
      <c r="G308" s="43"/>
      <c r="H308" s="43"/>
      <c r="I308" s="43"/>
      <c r="AC308" s="5"/>
      <c r="AD308" s="5"/>
      <c r="AE308" s="5"/>
    </row>
    <row r="309" spans="5:31" ht="14.25" customHeight="1">
      <c r="G309" s="43"/>
      <c r="H309" s="43"/>
      <c r="I309" s="43"/>
      <c r="AC309" s="5"/>
      <c r="AD309" s="5"/>
      <c r="AE309" s="5"/>
    </row>
    <row r="310" spans="5:31" ht="14.25" customHeight="1">
      <c r="G310" s="43"/>
      <c r="H310" s="43"/>
      <c r="I310" s="43"/>
      <c r="AC310" s="5"/>
      <c r="AD310" s="5"/>
      <c r="AE310" s="5"/>
    </row>
    <row r="311" spans="5:31" ht="14.25" customHeight="1">
      <c r="G311" s="43"/>
      <c r="H311" s="43"/>
      <c r="I311" s="43"/>
      <c r="AC311" s="5"/>
      <c r="AD311" s="5"/>
      <c r="AE311" s="5"/>
    </row>
    <row r="312" spans="5:31" ht="14.25" customHeight="1">
      <c r="G312" s="43"/>
      <c r="H312" s="43"/>
      <c r="I312" s="43"/>
      <c r="AC312" s="5"/>
      <c r="AD312" s="5"/>
      <c r="AE312" s="5"/>
    </row>
    <row r="313" spans="5:31" ht="14.25" customHeight="1">
      <c r="G313" s="43"/>
      <c r="H313" s="43"/>
      <c r="I313" s="43"/>
      <c r="AC313" s="5"/>
      <c r="AD313" s="5"/>
      <c r="AE313" s="5"/>
    </row>
    <row r="314" spans="5:31" ht="14.25" customHeight="1">
      <c r="G314" s="43"/>
      <c r="H314" s="43"/>
      <c r="I314" s="43"/>
      <c r="AC314" s="5"/>
      <c r="AD314" s="5"/>
      <c r="AE314" s="5"/>
    </row>
    <row r="315" spans="5:31" ht="14.25" customHeight="1">
      <c r="G315" s="43"/>
      <c r="H315" s="43"/>
      <c r="I315" s="43"/>
      <c r="AC315" s="5"/>
      <c r="AD315" s="5"/>
      <c r="AE315" s="5"/>
    </row>
    <row r="316" spans="5:31" ht="14.25" customHeight="1">
      <c r="G316" s="43"/>
      <c r="H316" s="43"/>
      <c r="I316" s="43"/>
      <c r="AC316" s="5"/>
      <c r="AD316" s="5"/>
      <c r="AE316" s="5"/>
    </row>
    <row r="317" spans="5:31" ht="14.25" customHeight="1">
      <c r="G317" s="43"/>
      <c r="H317" s="43"/>
      <c r="I317" s="43"/>
      <c r="AC317" s="5"/>
      <c r="AD317" s="5"/>
      <c r="AE317" s="5"/>
    </row>
    <row r="318" spans="5:31" ht="14.25" customHeight="1">
      <c r="G318" s="43"/>
      <c r="H318" s="43"/>
      <c r="I318" s="43"/>
      <c r="AC318" s="5"/>
      <c r="AD318" s="5"/>
      <c r="AE318" s="5"/>
    </row>
    <row r="319" spans="5:31" ht="14.25" customHeight="1">
      <c r="G319" s="43"/>
      <c r="H319" s="43"/>
      <c r="I319" s="43"/>
      <c r="AC319" s="5"/>
      <c r="AD319" s="5"/>
      <c r="AE319" s="5"/>
    </row>
    <row r="320" spans="5:31" ht="14.25" customHeight="1">
      <c r="G320" s="43"/>
      <c r="H320" s="43"/>
      <c r="I320" s="43"/>
      <c r="AC320" s="5"/>
      <c r="AD320" s="5"/>
      <c r="AE320" s="5"/>
    </row>
    <row r="321" spans="7:31" ht="14.25" customHeight="1">
      <c r="G321" s="43"/>
      <c r="H321" s="43"/>
      <c r="I321" s="43"/>
      <c r="AC321" s="5"/>
      <c r="AD321" s="5"/>
      <c r="AE321" s="5"/>
    </row>
    <row r="322" spans="7:31" ht="14.25" customHeight="1">
      <c r="G322" s="43"/>
      <c r="H322" s="43"/>
      <c r="I322" s="43"/>
      <c r="AC322" s="5"/>
      <c r="AD322" s="5"/>
      <c r="AE322" s="5"/>
    </row>
    <row r="323" spans="7:31" ht="14.25" customHeight="1">
      <c r="G323" s="43"/>
      <c r="H323" s="43"/>
      <c r="I323" s="43"/>
      <c r="AC323" s="5"/>
      <c r="AD323" s="5"/>
      <c r="AE323" s="5"/>
    </row>
    <row r="324" spans="7:31" ht="14.25" customHeight="1">
      <c r="G324" s="43"/>
      <c r="H324" s="43"/>
      <c r="I324" s="43"/>
      <c r="AC324" s="5"/>
      <c r="AD324" s="5"/>
      <c r="AE324" s="5"/>
    </row>
    <row r="325" spans="7:31" ht="14.25" customHeight="1">
      <c r="G325" s="43"/>
      <c r="H325" s="43"/>
      <c r="I325" s="43"/>
      <c r="AC325" s="5"/>
      <c r="AD325" s="5"/>
      <c r="AE325" s="5"/>
    </row>
    <row r="326" spans="7:31" ht="14.25" customHeight="1">
      <c r="G326" s="43"/>
      <c r="H326" s="43"/>
      <c r="I326" s="43"/>
      <c r="AC326" s="5"/>
      <c r="AD326" s="5"/>
      <c r="AE326" s="5"/>
    </row>
    <row r="327" spans="7:31" ht="14.25" customHeight="1">
      <c r="AC327" s="5"/>
      <c r="AD327" s="5"/>
      <c r="AE327" s="5"/>
    </row>
    <row r="328" spans="7:31" ht="14.25" customHeight="1">
      <c r="AC328" s="5"/>
      <c r="AD328" s="5"/>
      <c r="AE328" s="5"/>
    </row>
    <row r="329" spans="7:31" ht="14.25" customHeight="1">
      <c r="AC329" s="5"/>
      <c r="AD329" s="5"/>
      <c r="AE329" s="5"/>
    </row>
    <row r="330" spans="7:31" ht="14.25" customHeight="1">
      <c r="AC330" s="5"/>
      <c r="AD330" s="5"/>
      <c r="AE330" s="5"/>
    </row>
    <row r="331" spans="7:31" ht="14.25" customHeight="1">
      <c r="AC331" s="5"/>
      <c r="AD331" s="5"/>
      <c r="AE331" s="5"/>
    </row>
    <row r="332" spans="7:31" ht="14.25" customHeight="1">
      <c r="AC332" s="5"/>
      <c r="AD332" s="5"/>
      <c r="AE332" s="5"/>
    </row>
    <row r="333" spans="7:31" ht="14.25" customHeight="1">
      <c r="AC333" s="5"/>
      <c r="AD333" s="5"/>
      <c r="AE333" s="5"/>
    </row>
    <row r="334" spans="7:31" ht="14.25" customHeight="1">
      <c r="AC334" s="5"/>
      <c r="AD334" s="5"/>
      <c r="AE334" s="5"/>
    </row>
    <row r="335" spans="7:31" ht="14.25" customHeight="1">
      <c r="AC335" s="5"/>
      <c r="AD335" s="5"/>
      <c r="AE335" s="5"/>
    </row>
    <row r="336" spans="7:31" ht="14.25" customHeight="1">
      <c r="AC336" s="5"/>
      <c r="AD336" s="5"/>
      <c r="AE336" s="5"/>
    </row>
    <row r="337" spans="29:31" ht="14.25" customHeight="1">
      <c r="AC337" s="5"/>
      <c r="AD337" s="5"/>
      <c r="AE337" s="5"/>
    </row>
    <row r="338" spans="29:31" ht="14.25" customHeight="1">
      <c r="AC338" s="5"/>
      <c r="AD338" s="5"/>
      <c r="AE338" s="5"/>
    </row>
    <row r="339" spans="29:31" ht="14.25" customHeight="1">
      <c r="AC339" s="5"/>
      <c r="AD339" s="5"/>
      <c r="AE339" s="5"/>
    </row>
    <row r="340" spans="29:31" ht="14.25" customHeight="1">
      <c r="AC340" s="5"/>
      <c r="AD340" s="5"/>
      <c r="AE340" s="5"/>
    </row>
    <row r="341" spans="29:31" ht="14.25" customHeight="1">
      <c r="AC341" s="5"/>
      <c r="AD341" s="5"/>
      <c r="AE341" s="5"/>
    </row>
    <row r="342" spans="29:31" ht="14.25" customHeight="1">
      <c r="AC342" s="5"/>
      <c r="AD342" s="5"/>
      <c r="AE342" s="5"/>
    </row>
    <row r="343" spans="29:31" ht="14.25" customHeight="1">
      <c r="AC343" s="5"/>
      <c r="AD343" s="5"/>
      <c r="AE343" s="5"/>
    </row>
    <row r="344" spans="29:31" ht="14.25" customHeight="1">
      <c r="AC344" s="5"/>
      <c r="AD344" s="5"/>
      <c r="AE344" s="5"/>
    </row>
    <row r="345" spans="29:31" ht="14.25" customHeight="1">
      <c r="AC345" s="5"/>
      <c r="AD345" s="5"/>
      <c r="AE345" s="5"/>
    </row>
    <row r="346" spans="29:31" ht="14.25" customHeight="1">
      <c r="AC346" s="5"/>
      <c r="AD346" s="5"/>
      <c r="AE346" s="5"/>
    </row>
    <row r="347" spans="29:31" ht="14.25" customHeight="1">
      <c r="AC347" s="5"/>
      <c r="AD347" s="5"/>
      <c r="AE347" s="5"/>
    </row>
    <row r="348" spans="29:31" ht="14.25" customHeight="1">
      <c r="AC348" s="5"/>
      <c r="AD348" s="5"/>
      <c r="AE348" s="5"/>
    </row>
    <row r="349" spans="29:31" ht="14.25" customHeight="1">
      <c r="AC349" s="5"/>
      <c r="AD349" s="5"/>
      <c r="AE349" s="5"/>
    </row>
    <row r="350" spans="29:31" ht="14.25" customHeight="1">
      <c r="AC350" s="5"/>
      <c r="AD350" s="5"/>
      <c r="AE350" s="5"/>
    </row>
    <row r="351" spans="29:31" ht="14.25" customHeight="1">
      <c r="AC351" s="5"/>
      <c r="AD351" s="5"/>
      <c r="AE351" s="5"/>
    </row>
    <row r="352" spans="29:31" ht="14.25" customHeight="1">
      <c r="AC352" s="5"/>
      <c r="AD352" s="5"/>
      <c r="AE352" s="5"/>
    </row>
    <row r="353" spans="29:31" ht="14.25" customHeight="1">
      <c r="AC353" s="5"/>
      <c r="AD353" s="5"/>
      <c r="AE353" s="5"/>
    </row>
    <row r="354" spans="29:31" ht="14.25" customHeight="1">
      <c r="AC354" s="5"/>
      <c r="AD354" s="5"/>
      <c r="AE354" s="5"/>
    </row>
    <row r="355" spans="29:31" ht="14.25" customHeight="1">
      <c r="AC355" s="5"/>
      <c r="AD355" s="5"/>
      <c r="AE355" s="5"/>
    </row>
    <row r="356" spans="29:31" ht="14.25" customHeight="1">
      <c r="AC356" s="5"/>
      <c r="AD356" s="5"/>
      <c r="AE356" s="5"/>
    </row>
    <row r="357" spans="29:31" ht="14.25" customHeight="1">
      <c r="AC357" s="5"/>
      <c r="AD357" s="5"/>
      <c r="AE357" s="5"/>
    </row>
    <row r="358" spans="29:31" ht="14.25" customHeight="1">
      <c r="AC358" s="5"/>
      <c r="AD358" s="5"/>
      <c r="AE358" s="5"/>
    </row>
    <row r="359" spans="29:31" ht="14.25" customHeight="1">
      <c r="AC359" s="5"/>
      <c r="AD359" s="5"/>
      <c r="AE359" s="5"/>
    </row>
    <row r="360" spans="29:31" ht="14.25" customHeight="1">
      <c r="AC360" s="5"/>
      <c r="AD360" s="5"/>
      <c r="AE360" s="5"/>
    </row>
    <row r="361" spans="29:31" ht="14.25" customHeight="1">
      <c r="AC361" s="5"/>
      <c r="AD361" s="5"/>
      <c r="AE361" s="5"/>
    </row>
    <row r="362" spans="29:31" ht="14.25" customHeight="1">
      <c r="AC362" s="5"/>
      <c r="AD362" s="5"/>
      <c r="AE362" s="5"/>
    </row>
    <row r="363" spans="29:31" ht="14.25" customHeight="1">
      <c r="AC363" s="5"/>
      <c r="AD363" s="5"/>
      <c r="AE363" s="5"/>
    </row>
    <row r="364" spans="29:31" ht="14.25" customHeight="1">
      <c r="AC364" s="5"/>
      <c r="AD364" s="5"/>
      <c r="AE364" s="5"/>
    </row>
    <row r="365" spans="29:31" ht="14.25" customHeight="1">
      <c r="AC365" s="5"/>
      <c r="AD365" s="5"/>
      <c r="AE365" s="5"/>
    </row>
    <row r="366" spans="29:31" ht="14.25" customHeight="1">
      <c r="AC366" s="5"/>
      <c r="AD366" s="5"/>
      <c r="AE366" s="5"/>
    </row>
    <row r="367" spans="29:31" ht="14.25" customHeight="1">
      <c r="AC367" s="5"/>
      <c r="AD367" s="5"/>
      <c r="AE367" s="5"/>
    </row>
    <row r="368" spans="29:31" ht="14.25" customHeight="1">
      <c r="AC368" s="5"/>
      <c r="AD368" s="5"/>
      <c r="AE368" s="5"/>
    </row>
    <row r="369" spans="29:31" ht="14.25" customHeight="1">
      <c r="AC369" s="5"/>
      <c r="AD369" s="5"/>
      <c r="AE369" s="5"/>
    </row>
    <row r="370" spans="29:31" ht="14.25" customHeight="1">
      <c r="AC370" s="5"/>
      <c r="AD370" s="5"/>
      <c r="AE370" s="5"/>
    </row>
    <row r="371" spans="29:31" ht="14.25" customHeight="1">
      <c r="AC371" s="5"/>
      <c r="AD371" s="5"/>
      <c r="AE371" s="5"/>
    </row>
    <row r="372" spans="29:31" ht="14.25" customHeight="1">
      <c r="AC372" s="5"/>
      <c r="AD372" s="5"/>
      <c r="AE372" s="5"/>
    </row>
    <row r="373" spans="29:31" ht="14.25" customHeight="1">
      <c r="AC373" s="5"/>
      <c r="AD373" s="5"/>
      <c r="AE373" s="5"/>
    </row>
    <row r="374" spans="29:31" ht="14.25" customHeight="1">
      <c r="AC374" s="5"/>
      <c r="AD374" s="5"/>
      <c r="AE374" s="5"/>
    </row>
    <row r="375" spans="29:31" ht="14.25" customHeight="1">
      <c r="AC375" s="5"/>
      <c r="AD375" s="5"/>
      <c r="AE375" s="5"/>
    </row>
    <row r="376" spans="29:31" ht="14.25" customHeight="1">
      <c r="AC376" s="5"/>
      <c r="AD376" s="5"/>
      <c r="AE376" s="5"/>
    </row>
    <row r="377" spans="29:31" ht="14.25" customHeight="1">
      <c r="AC377" s="5"/>
      <c r="AD377" s="5"/>
      <c r="AE377" s="5"/>
    </row>
    <row r="378" spans="29:31" ht="14.25" customHeight="1">
      <c r="AC378" s="5"/>
      <c r="AD378" s="5"/>
      <c r="AE378" s="5"/>
    </row>
    <row r="379" spans="29:31" ht="14.25" customHeight="1">
      <c r="AC379" s="5"/>
      <c r="AD379" s="5"/>
      <c r="AE379" s="5"/>
    </row>
    <row r="380" spans="29:31" ht="14.25" customHeight="1">
      <c r="AC380" s="5"/>
      <c r="AD380" s="5"/>
      <c r="AE380" s="5"/>
    </row>
    <row r="381" spans="29:31" ht="14.25" customHeight="1">
      <c r="AC381" s="5"/>
      <c r="AD381" s="5"/>
      <c r="AE381" s="5"/>
    </row>
    <row r="382" spans="29:31" ht="14.25" customHeight="1">
      <c r="AC382" s="5"/>
      <c r="AD382" s="5"/>
      <c r="AE382" s="5"/>
    </row>
    <row r="383" spans="29:31" ht="14.25" customHeight="1">
      <c r="AC383" s="5"/>
      <c r="AD383" s="5"/>
      <c r="AE383" s="5"/>
    </row>
    <row r="384" spans="29:31" ht="14.25" customHeight="1">
      <c r="AC384" s="5"/>
      <c r="AD384" s="5"/>
      <c r="AE384" s="5"/>
    </row>
    <row r="385" spans="29:31" ht="14.25" customHeight="1">
      <c r="AC385" s="5"/>
      <c r="AD385" s="5"/>
      <c r="AE385" s="5"/>
    </row>
    <row r="386" spans="29:31" ht="14.25" customHeight="1">
      <c r="AC386" s="5"/>
      <c r="AD386" s="5"/>
      <c r="AE386" s="5"/>
    </row>
    <row r="387" spans="29:31" ht="14.25" customHeight="1">
      <c r="AC387" s="5"/>
      <c r="AD387" s="5"/>
      <c r="AE387" s="5"/>
    </row>
    <row r="388" spans="29:31" ht="14.25" customHeight="1">
      <c r="AC388" s="5"/>
      <c r="AD388" s="5"/>
      <c r="AE388" s="5"/>
    </row>
    <row r="389" spans="29:31" ht="14.25" customHeight="1">
      <c r="AC389" s="5"/>
      <c r="AD389" s="5"/>
      <c r="AE389" s="5"/>
    </row>
    <row r="390" spans="29:31" ht="14.25" customHeight="1">
      <c r="AC390" s="5"/>
      <c r="AD390" s="5"/>
      <c r="AE390" s="5"/>
    </row>
    <row r="391" spans="29:31" ht="14.25" customHeight="1">
      <c r="AC391" s="5"/>
      <c r="AD391" s="5"/>
      <c r="AE391" s="5"/>
    </row>
    <row r="392" spans="29:31" ht="14.25" customHeight="1">
      <c r="AC392" s="5"/>
      <c r="AD392" s="5"/>
      <c r="AE392" s="5"/>
    </row>
    <row r="393" spans="29:31" ht="14.25" customHeight="1">
      <c r="AC393" s="5"/>
      <c r="AD393" s="5"/>
      <c r="AE393" s="5"/>
    </row>
    <row r="394" spans="29:31" ht="14.25" customHeight="1">
      <c r="AC394" s="5"/>
      <c r="AD394" s="5"/>
      <c r="AE394" s="5"/>
    </row>
    <row r="395" spans="29:31" ht="14.25" customHeight="1">
      <c r="AC395" s="5"/>
      <c r="AD395" s="5"/>
      <c r="AE395" s="5"/>
    </row>
    <row r="396" spans="29:31" ht="14.25" customHeight="1">
      <c r="AC396" s="5"/>
      <c r="AD396" s="5"/>
      <c r="AE396" s="5"/>
    </row>
    <row r="397" spans="29:31" ht="14.25" customHeight="1">
      <c r="AC397" s="5"/>
      <c r="AD397" s="5"/>
      <c r="AE397" s="5"/>
    </row>
    <row r="398" spans="29:31" ht="14.25" customHeight="1">
      <c r="AC398" s="5"/>
      <c r="AD398" s="5"/>
      <c r="AE398" s="5"/>
    </row>
    <row r="399" spans="29:31" ht="14.25" customHeight="1">
      <c r="AC399" s="5"/>
      <c r="AD399" s="5"/>
      <c r="AE399" s="5"/>
    </row>
    <row r="400" spans="29:31" ht="14.25" customHeight="1">
      <c r="AC400" s="5"/>
      <c r="AD400" s="5"/>
      <c r="AE400" s="5"/>
    </row>
    <row r="401" spans="29:31" ht="14.25" customHeight="1">
      <c r="AC401" s="5"/>
      <c r="AD401" s="5"/>
      <c r="AE401" s="5"/>
    </row>
    <row r="402" spans="29:31" ht="14.25" customHeight="1">
      <c r="AC402" s="5"/>
      <c r="AD402" s="5"/>
      <c r="AE402" s="5"/>
    </row>
    <row r="403" spans="29:31" ht="14.25" customHeight="1">
      <c r="AC403" s="5"/>
      <c r="AD403" s="5"/>
      <c r="AE403" s="5"/>
    </row>
    <row r="404" spans="29:31" ht="14.25" customHeight="1">
      <c r="AC404" s="5"/>
      <c r="AD404" s="5"/>
      <c r="AE404" s="5"/>
    </row>
    <row r="405" spans="29:31" ht="14.25" customHeight="1">
      <c r="AC405" s="5"/>
      <c r="AD405" s="5"/>
      <c r="AE405" s="5"/>
    </row>
    <row r="406" spans="29:31" ht="14.25" customHeight="1">
      <c r="AC406" s="5"/>
      <c r="AD406" s="5"/>
      <c r="AE406" s="5"/>
    </row>
    <row r="407" spans="29:31" ht="14.25" customHeight="1">
      <c r="AC407" s="5"/>
      <c r="AD407" s="5"/>
      <c r="AE407" s="5"/>
    </row>
    <row r="408" spans="29:31" ht="14.25" customHeight="1">
      <c r="AC408" s="5"/>
      <c r="AD408" s="5"/>
      <c r="AE408" s="5"/>
    </row>
    <row r="409" spans="29:31" ht="14.25" customHeight="1">
      <c r="AC409" s="5"/>
      <c r="AD409" s="5"/>
      <c r="AE409" s="5"/>
    </row>
    <row r="410" spans="29:31" ht="14.25" customHeight="1">
      <c r="AC410" s="5"/>
      <c r="AD410" s="5"/>
      <c r="AE410" s="5"/>
    </row>
    <row r="411" spans="29:31" ht="14.25" customHeight="1">
      <c r="AC411" s="5"/>
      <c r="AD411" s="5"/>
      <c r="AE411" s="5"/>
    </row>
    <row r="412" spans="29:31" ht="14.25" customHeight="1">
      <c r="AC412" s="5"/>
      <c r="AD412" s="5"/>
      <c r="AE412" s="5"/>
    </row>
    <row r="413" spans="29:31" ht="14.25" customHeight="1">
      <c r="AC413" s="5"/>
      <c r="AD413" s="5"/>
      <c r="AE413" s="5"/>
    </row>
    <row r="414" spans="29:31" ht="14.25" customHeight="1">
      <c r="AC414" s="5"/>
      <c r="AD414" s="5"/>
      <c r="AE414" s="5"/>
    </row>
    <row r="415" spans="29:31" ht="14.25" customHeight="1">
      <c r="AC415" s="5"/>
      <c r="AD415" s="5"/>
      <c r="AE415" s="5"/>
    </row>
    <row r="416" spans="29:31" ht="14.25" customHeight="1">
      <c r="AC416" s="5"/>
      <c r="AD416" s="5"/>
      <c r="AE416" s="5"/>
    </row>
    <row r="417" spans="29:31" ht="14.25" customHeight="1">
      <c r="AC417" s="5"/>
      <c r="AD417" s="5"/>
      <c r="AE417" s="5"/>
    </row>
    <row r="418" spans="29:31" ht="14.25" customHeight="1">
      <c r="AC418" s="5"/>
      <c r="AD418" s="5"/>
      <c r="AE418" s="5"/>
    </row>
    <row r="419" spans="29:31" ht="15.75" customHeight="1">
      <c r="AC419" s="5"/>
      <c r="AD419" s="5"/>
      <c r="AE419" s="5"/>
    </row>
    <row r="420" spans="29:31" ht="15.75" customHeight="1">
      <c r="AC420" s="5"/>
      <c r="AD420" s="5"/>
      <c r="AE420" s="5"/>
    </row>
    <row r="421" spans="29:31" ht="15.75" customHeight="1">
      <c r="AC421" s="5"/>
      <c r="AD421" s="5"/>
      <c r="AE421" s="5"/>
    </row>
    <row r="422" spans="29:31" ht="15.75" customHeight="1">
      <c r="AC422" s="5"/>
      <c r="AD422" s="5"/>
      <c r="AE422" s="5"/>
    </row>
    <row r="423" spans="29:31" ht="15.75" customHeight="1">
      <c r="AC423" s="5"/>
      <c r="AD423" s="5"/>
      <c r="AE423" s="5"/>
    </row>
    <row r="424" spans="29:31" ht="15.75" customHeight="1">
      <c r="AC424" s="5"/>
      <c r="AD424" s="5"/>
      <c r="AE424" s="5"/>
    </row>
    <row r="425" spans="29:31" ht="15.75" customHeight="1">
      <c r="AC425" s="5"/>
      <c r="AD425" s="5"/>
      <c r="AE425" s="5"/>
    </row>
    <row r="426" spans="29:31" ht="15.75" customHeight="1">
      <c r="AC426" s="5"/>
      <c r="AD426" s="5"/>
      <c r="AE426" s="5"/>
    </row>
    <row r="427" spans="29:31" ht="15.75" customHeight="1">
      <c r="AC427" s="5"/>
      <c r="AD427" s="5"/>
      <c r="AE427" s="5"/>
    </row>
    <row r="428" spans="29:31" ht="15.75" customHeight="1">
      <c r="AC428" s="5"/>
      <c r="AD428" s="5"/>
      <c r="AE428" s="5"/>
    </row>
    <row r="429" spans="29:31" ht="15.75" customHeight="1">
      <c r="AC429" s="5"/>
      <c r="AD429" s="5"/>
      <c r="AE429" s="5"/>
    </row>
    <row r="430" spans="29:31" ht="15.75" customHeight="1">
      <c r="AC430" s="5"/>
      <c r="AD430" s="5"/>
      <c r="AE430" s="5"/>
    </row>
    <row r="431" spans="29:31" ht="15.75" customHeight="1">
      <c r="AC431" s="5"/>
      <c r="AD431" s="5"/>
      <c r="AE431" s="5"/>
    </row>
    <row r="432" spans="29:31" ht="15.75" customHeight="1">
      <c r="AC432" s="5"/>
      <c r="AD432" s="5"/>
      <c r="AE432" s="5"/>
    </row>
    <row r="433" spans="29:31" ht="15.75" customHeight="1">
      <c r="AC433" s="5"/>
      <c r="AD433" s="5"/>
      <c r="AE433" s="5"/>
    </row>
    <row r="434" spans="29:31" ht="15.75" customHeight="1">
      <c r="AC434" s="5"/>
      <c r="AD434" s="5"/>
      <c r="AE434" s="5"/>
    </row>
    <row r="435" spans="29:31" ht="15.75" customHeight="1">
      <c r="AC435" s="5"/>
      <c r="AD435" s="5"/>
      <c r="AE435" s="5"/>
    </row>
    <row r="436" spans="29:31" ht="15.75" customHeight="1">
      <c r="AC436" s="5"/>
      <c r="AD436" s="5"/>
      <c r="AE436" s="5"/>
    </row>
    <row r="437" spans="29:31" ht="15.75" customHeight="1">
      <c r="AC437" s="5"/>
      <c r="AD437" s="5"/>
      <c r="AE437" s="5"/>
    </row>
    <row r="438" spans="29:31" ht="15.75" customHeight="1">
      <c r="AC438" s="5"/>
      <c r="AD438" s="5"/>
      <c r="AE438" s="5"/>
    </row>
    <row r="439" spans="29:31" ht="15.75" customHeight="1">
      <c r="AC439" s="5"/>
      <c r="AD439" s="5"/>
      <c r="AE439" s="5"/>
    </row>
    <row r="440" spans="29:31" ht="15.75" customHeight="1">
      <c r="AC440" s="5"/>
      <c r="AD440" s="5"/>
      <c r="AE440" s="5"/>
    </row>
    <row r="441" spans="29:31" ht="15.75" customHeight="1">
      <c r="AC441" s="5"/>
      <c r="AD441" s="5"/>
      <c r="AE441" s="5"/>
    </row>
    <row r="442" spans="29:31" ht="15.75" customHeight="1">
      <c r="AC442" s="5"/>
      <c r="AD442" s="5"/>
      <c r="AE442" s="5"/>
    </row>
    <row r="443" spans="29:31" ht="15.75" customHeight="1">
      <c r="AC443" s="5"/>
      <c r="AD443" s="5"/>
      <c r="AE443" s="5"/>
    </row>
    <row r="444" spans="29:31" ht="15.75" customHeight="1">
      <c r="AC444" s="5"/>
      <c r="AD444" s="5"/>
      <c r="AE444" s="5"/>
    </row>
    <row r="445" spans="29:31" ht="15.75" customHeight="1">
      <c r="AC445" s="5"/>
      <c r="AD445" s="5"/>
      <c r="AE445" s="5"/>
    </row>
    <row r="446" spans="29:31" ht="15.75" customHeight="1">
      <c r="AC446" s="5"/>
      <c r="AD446" s="5"/>
      <c r="AE446" s="5"/>
    </row>
    <row r="447" spans="29:31" ht="15.75" customHeight="1">
      <c r="AC447" s="5"/>
      <c r="AD447" s="5"/>
      <c r="AE447" s="5"/>
    </row>
    <row r="448" spans="29:31" ht="15.75" customHeight="1">
      <c r="AC448" s="5"/>
      <c r="AD448" s="5"/>
      <c r="AE448" s="5"/>
    </row>
    <row r="449" spans="29:31" ht="15.75" customHeight="1">
      <c r="AC449" s="5"/>
      <c r="AD449" s="5"/>
      <c r="AE449" s="5"/>
    </row>
    <row r="450" spans="29:31" ht="15.75" customHeight="1">
      <c r="AC450" s="5"/>
      <c r="AD450" s="5"/>
      <c r="AE450" s="5"/>
    </row>
    <row r="451" spans="29:31" ht="15.75" customHeight="1">
      <c r="AC451" s="5"/>
      <c r="AD451" s="5"/>
      <c r="AE451" s="5"/>
    </row>
    <row r="452" spans="29:31" ht="15.75" customHeight="1">
      <c r="AC452" s="5"/>
      <c r="AD452" s="5"/>
      <c r="AE452" s="5"/>
    </row>
    <row r="453" spans="29:31" ht="15.75" customHeight="1">
      <c r="AC453" s="5"/>
      <c r="AD453" s="5"/>
      <c r="AE453" s="5"/>
    </row>
    <row r="454" spans="29:31" ht="15.75" customHeight="1">
      <c r="AC454" s="5"/>
      <c r="AD454" s="5"/>
      <c r="AE454" s="5"/>
    </row>
    <row r="455" spans="29:31" ht="15.75" customHeight="1">
      <c r="AC455" s="5"/>
      <c r="AD455" s="5"/>
      <c r="AE455" s="5"/>
    </row>
    <row r="456" spans="29:31" ht="15.75" customHeight="1">
      <c r="AC456" s="5"/>
      <c r="AD456" s="5"/>
      <c r="AE456" s="5"/>
    </row>
    <row r="457" spans="29:31" ht="15.75" customHeight="1">
      <c r="AC457" s="5"/>
      <c r="AD457" s="5"/>
      <c r="AE457" s="5"/>
    </row>
    <row r="458" spans="29:31" ht="15.75" customHeight="1">
      <c r="AC458" s="5"/>
      <c r="AD458" s="5"/>
      <c r="AE458" s="5"/>
    </row>
    <row r="459" spans="29:31" ht="15.75" customHeight="1">
      <c r="AC459" s="5"/>
      <c r="AD459" s="5"/>
      <c r="AE459" s="5"/>
    </row>
    <row r="460" spans="29:31" ht="15.75" customHeight="1">
      <c r="AC460" s="5"/>
      <c r="AD460" s="5"/>
      <c r="AE460" s="5"/>
    </row>
    <row r="461" spans="29:31" ht="15.75" customHeight="1">
      <c r="AC461" s="5"/>
      <c r="AD461" s="5"/>
      <c r="AE461" s="5"/>
    </row>
    <row r="462" spans="29:31" ht="15.75" customHeight="1">
      <c r="AC462" s="5"/>
      <c r="AD462" s="5"/>
      <c r="AE462" s="5"/>
    </row>
    <row r="463" spans="29:31" ht="15.75" customHeight="1">
      <c r="AC463" s="5"/>
      <c r="AD463" s="5"/>
      <c r="AE463" s="5"/>
    </row>
    <row r="464" spans="29:31" ht="15.75" customHeight="1">
      <c r="AC464" s="5"/>
      <c r="AD464" s="5"/>
      <c r="AE464" s="5"/>
    </row>
    <row r="465" spans="29:31" ht="15.75" customHeight="1">
      <c r="AC465" s="5"/>
      <c r="AD465" s="5"/>
      <c r="AE465" s="5"/>
    </row>
    <row r="466" spans="29:31" ht="15.75" customHeight="1">
      <c r="AC466" s="5"/>
      <c r="AD466" s="5"/>
      <c r="AE466" s="5"/>
    </row>
    <row r="467" spans="29:31" ht="15.75" customHeight="1">
      <c r="AC467" s="5"/>
      <c r="AD467" s="5"/>
      <c r="AE467" s="5"/>
    </row>
    <row r="468" spans="29:31" ht="15.75" customHeight="1">
      <c r="AC468" s="5"/>
      <c r="AD468" s="5"/>
      <c r="AE468" s="5"/>
    </row>
    <row r="469" spans="29:31" ht="15.75" customHeight="1">
      <c r="AC469" s="5"/>
      <c r="AD469" s="5"/>
      <c r="AE469" s="5"/>
    </row>
    <row r="470" spans="29:31" ht="15.75" customHeight="1">
      <c r="AC470" s="5"/>
      <c r="AD470" s="5"/>
      <c r="AE470" s="5"/>
    </row>
    <row r="471" spans="29:31" ht="15.75" customHeight="1">
      <c r="AC471" s="5"/>
      <c r="AD471" s="5"/>
      <c r="AE471" s="5"/>
    </row>
    <row r="472" spans="29:31" ht="15.75" customHeight="1">
      <c r="AC472" s="5"/>
      <c r="AD472" s="5"/>
      <c r="AE472" s="5"/>
    </row>
    <row r="473" spans="29:31" ht="15.75" customHeight="1">
      <c r="AC473" s="5"/>
      <c r="AD473" s="5"/>
      <c r="AE473" s="5"/>
    </row>
    <row r="474" spans="29:31" ht="15.75" customHeight="1">
      <c r="AC474" s="5"/>
      <c r="AD474" s="5"/>
      <c r="AE474" s="5"/>
    </row>
    <row r="475" spans="29:31" ht="15.75" customHeight="1">
      <c r="AC475" s="5"/>
      <c r="AD475" s="5"/>
      <c r="AE475" s="5"/>
    </row>
    <row r="476" spans="29:31" ht="15.75" customHeight="1">
      <c r="AC476" s="5"/>
      <c r="AD476" s="5"/>
      <c r="AE476" s="5"/>
    </row>
    <row r="477" spans="29:31" ht="15.75" customHeight="1">
      <c r="AC477" s="5"/>
      <c r="AD477" s="5"/>
      <c r="AE477" s="5"/>
    </row>
    <row r="478" spans="29:31" ht="15.75" customHeight="1">
      <c r="AC478" s="5"/>
      <c r="AD478" s="5"/>
      <c r="AE478" s="5"/>
    </row>
    <row r="479" spans="29:31" ht="15.75" customHeight="1">
      <c r="AC479" s="5"/>
      <c r="AD479" s="5"/>
      <c r="AE479" s="5"/>
    </row>
    <row r="480" spans="29:31" ht="15.75" customHeight="1">
      <c r="AC480" s="5"/>
      <c r="AD480" s="5"/>
      <c r="AE480" s="5"/>
    </row>
    <row r="481" spans="29:31" ht="15.75" customHeight="1">
      <c r="AC481" s="5"/>
      <c r="AD481" s="5"/>
      <c r="AE481" s="5"/>
    </row>
    <row r="482" spans="29:31" ht="15.75" customHeight="1">
      <c r="AC482" s="5"/>
      <c r="AD482" s="5"/>
      <c r="AE482" s="5"/>
    </row>
    <row r="483" spans="29:31" ht="15.75" customHeight="1">
      <c r="AC483" s="5"/>
      <c r="AD483" s="5"/>
      <c r="AE483" s="5"/>
    </row>
    <row r="484" spans="29:31" ht="15.75" customHeight="1">
      <c r="AC484" s="5"/>
      <c r="AD484" s="5"/>
      <c r="AE484" s="5"/>
    </row>
    <row r="485" spans="29:31" ht="15.75" customHeight="1">
      <c r="AC485" s="5"/>
      <c r="AD485" s="5"/>
      <c r="AE485" s="5"/>
    </row>
    <row r="486" spans="29:31" ht="15.75" customHeight="1">
      <c r="AC486" s="5"/>
      <c r="AD486" s="5"/>
      <c r="AE486" s="5"/>
    </row>
    <row r="487" spans="29:31" ht="15.75" customHeight="1">
      <c r="AC487" s="5"/>
      <c r="AD487" s="5"/>
      <c r="AE487" s="5"/>
    </row>
    <row r="488" spans="29:31" ht="15.75" customHeight="1">
      <c r="AC488" s="5"/>
      <c r="AD488" s="5"/>
      <c r="AE488" s="5"/>
    </row>
    <row r="489" spans="29:31" ht="15.75" customHeight="1">
      <c r="AC489" s="5"/>
      <c r="AD489" s="5"/>
      <c r="AE489" s="5"/>
    </row>
    <row r="490" spans="29:31" ht="15.75" customHeight="1">
      <c r="AC490" s="5"/>
      <c r="AD490" s="5"/>
      <c r="AE490" s="5"/>
    </row>
    <row r="491" spans="29:31" ht="15.75" customHeight="1">
      <c r="AC491" s="5"/>
      <c r="AD491" s="5"/>
      <c r="AE491" s="5"/>
    </row>
    <row r="492" spans="29:31" ht="15.75" customHeight="1">
      <c r="AC492" s="5"/>
      <c r="AD492" s="5"/>
      <c r="AE492" s="5"/>
    </row>
    <row r="493" spans="29:31" ht="15.75" customHeight="1">
      <c r="AC493" s="5"/>
      <c r="AD493" s="5"/>
      <c r="AE493" s="5"/>
    </row>
    <row r="494" spans="29:31" ht="15.75" customHeight="1">
      <c r="AC494" s="5"/>
      <c r="AD494" s="5"/>
      <c r="AE494" s="5"/>
    </row>
    <row r="495" spans="29:31" ht="15.75" customHeight="1">
      <c r="AC495" s="5"/>
      <c r="AD495" s="5"/>
      <c r="AE495" s="5"/>
    </row>
    <row r="496" spans="29:31" ht="15.75" customHeight="1">
      <c r="AC496" s="5"/>
      <c r="AD496" s="5"/>
      <c r="AE496" s="5"/>
    </row>
    <row r="497" spans="29:31" ht="15.75" customHeight="1">
      <c r="AC497" s="5"/>
      <c r="AD497" s="5"/>
      <c r="AE497" s="5"/>
    </row>
    <row r="498" spans="29:31" ht="15.75" customHeight="1">
      <c r="AC498" s="5"/>
      <c r="AD498" s="5"/>
      <c r="AE498" s="5"/>
    </row>
    <row r="499" spans="29:31" ht="15.75" customHeight="1">
      <c r="AC499" s="5"/>
      <c r="AD499" s="5"/>
      <c r="AE499" s="5"/>
    </row>
    <row r="500" spans="29:31" ht="15.75" customHeight="1">
      <c r="AC500" s="5"/>
      <c r="AD500" s="5"/>
      <c r="AE500" s="5"/>
    </row>
    <row r="501" spans="29:31" ht="15.75" customHeight="1">
      <c r="AC501" s="5"/>
      <c r="AD501" s="5"/>
      <c r="AE501" s="5"/>
    </row>
    <row r="502" spans="29:31" ht="15.75" customHeight="1">
      <c r="AC502" s="5"/>
      <c r="AD502" s="5"/>
      <c r="AE502" s="5"/>
    </row>
    <row r="503" spans="29:31" ht="15.75" customHeight="1"/>
    <row r="504" spans="29:31" ht="15.75" customHeight="1"/>
    <row r="505" spans="29:31" ht="15.75" customHeight="1"/>
    <row r="506" spans="29:31" ht="15.75" customHeight="1"/>
    <row r="507" spans="29:31" ht="15.75" customHeight="1"/>
    <row r="508" spans="29:31" ht="15.75" customHeight="1"/>
    <row r="509" spans="29:31" ht="15.75" customHeight="1"/>
    <row r="510" spans="29:31" ht="15.75" customHeight="1"/>
    <row r="511" spans="29:31" ht="15.75" customHeight="1"/>
    <row r="512" spans="29:31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4.4"/>
    <row r="995" ht="14.4"/>
    <row r="996" ht="14.4"/>
  </sheetData>
  <mergeCells count="1">
    <mergeCell ref="AC110:AC112"/>
  </mergeCells>
  <phoneticPr fontId="48" type="noConversion"/>
  <dataValidations count="2">
    <dataValidation type="list" allowBlank="1" showErrorMessage="1" sqref="A227:A228 A21:A24 A50:A59 A2:A19 A61:A217 A26:A48" xr:uid="{00000000-0002-0000-0100-000000000000}">
      <formula1>$BH$6:$BH$39</formula1>
    </dataValidation>
    <dataValidation type="list" allowBlank="1" showErrorMessage="1" sqref="B227:C228 B50:C59 B21:C24 B2:C19 B61:C218 B26:C48" xr:uid="{00000000-0002-0000-0100-000001000000}">
      <formula1>$BI$6:$BI$11</formula1>
    </dataValidation>
  </dataValidations>
  <pageMargins left="0.7" right="0.7" top="0.75" bottom="0.75" header="0" footer="0"/>
  <pageSetup paperSize="5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87"/>
  <sheetViews>
    <sheetView tabSelected="1" topLeftCell="A250" zoomScale="150" zoomScaleNormal="150" workbookViewId="0">
      <selection activeCell="E267" sqref="E267"/>
    </sheetView>
  </sheetViews>
  <sheetFormatPr defaultColWidth="14.44140625" defaultRowHeight="15" customHeight="1"/>
  <cols>
    <col min="1" max="1" width="53.44140625" customWidth="1"/>
    <col min="2" max="2" width="16.33203125" customWidth="1"/>
    <col min="3" max="3" width="15.109375" customWidth="1"/>
    <col min="4" max="4" width="16.6640625" style="129" customWidth="1"/>
    <col min="5" max="5" width="24.6640625" customWidth="1"/>
    <col min="6" max="6" width="19.6640625" hidden="1" customWidth="1"/>
    <col min="7" max="7" width="18.109375" hidden="1" customWidth="1"/>
    <col min="8" max="8" width="16.5546875" hidden="1" customWidth="1"/>
    <col min="9" max="9" width="17.33203125" bestFit="1" customWidth="1"/>
    <col min="10" max="10" width="15.6640625" customWidth="1"/>
    <col min="11" max="24" width="8.6640625" customWidth="1"/>
  </cols>
  <sheetData>
    <row r="1" spans="1:24" ht="18" customHeight="1">
      <c r="A1" s="236" t="s">
        <v>0</v>
      </c>
      <c r="B1" s="234"/>
      <c r="C1" s="234"/>
      <c r="D1" s="234"/>
      <c r="E1" s="235"/>
      <c r="F1" s="68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17.25" customHeight="1">
      <c r="A2" s="237" t="s">
        <v>395</v>
      </c>
      <c r="B2" s="234"/>
      <c r="C2" s="234"/>
      <c r="D2" s="234"/>
      <c r="E2" s="235"/>
      <c r="F2" s="68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21" customHeight="1">
      <c r="A3" s="236" t="s">
        <v>531</v>
      </c>
      <c r="B3" s="234"/>
      <c r="C3" s="234"/>
      <c r="D3" s="234"/>
      <c r="E3" s="235"/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4" ht="14.25" customHeight="1">
      <c r="A4" s="70" t="s">
        <v>396</v>
      </c>
      <c r="B4" s="69"/>
      <c r="C4" s="69"/>
      <c r="D4" s="112"/>
      <c r="E4" s="69"/>
      <c r="F4" s="68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4" ht="14.25" customHeight="1">
      <c r="A5" s="71" t="s">
        <v>396</v>
      </c>
      <c r="B5" s="72" t="s">
        <v>397</v>
      </c>
      <c r="C5" s="73"/>
      <c r="D5" s="112"/>
      <c r="E5" s="69"/>
      <c r="F5" s="68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4" ht="14.25" customHeight="1">
      <c r="A6" s="71" t="s">
        <v>396</v>
      </c>
      <c r="B6" s="74">
        <v>44926</v>
      </c>
      <c r="C6" s="75" t="s">
        <v>493</v>
      </c>
      <c r="D6" s="113" t="s">
        <v>493</v>
      </c>
      <c r="E6" s="75" t="s">
        <v>398</v>
      </c>
      <c r="F6" s="68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ht="14.25" customHeight="1">
      <c r="A7" s="76" t="s">
        <v>396</v>
      </c>
      <c r="B7" s="77" t="s">
        <v>399</v>
      </c>
      <c r="C7" s="78" t="s">
        <v>533</v>
      </c>
      <c r="D7" s="114" t="s">
        <v>614</v>
      </c>
      <c r="E7" s="78"/>
      <c r="F7" s="68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4" ht="14.25" customHeight="1">
      <c r="A8" s="79" t="s">
        <v>400</v>
      </c>
      <c r="B8" s="79" t="s">
        <v>401</v>
      </c>
      <c r="C8" s="79" t="s">
        <v>401</v>
      </c>
      <c r="D8" s="112"/>
      <c r="E8" s="69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</row>
    <row r="9" spans="1:24" ht="14.25" customHeight="1">
      <c r="A9" s="79" t="s">
        <v>402</v>
      </c>
      <c r="B9" s="71" t="s">
        <v>403</v>
      </c>
      <c r="C9" s="71" t="s">
        <v>403</v>
      </c>
      <c r="D9" s="112"/>
      <c r="E9" s="69"/>
      <c r="F9" s="68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</row>
    <row r="10" spans="1:24" ht="14.25" customHeight="1">
      <c r="A10" s="79" t="s">
        <v>404</v>
      </c>
      <c r="B10" s="71" t="s">
        <v>405</v>
      </c>
      <c r="C10" s="71" t="s">
        <v>405</v>
      </c>
      <c r="D10" s="112"/>
      <c r="E10" s="69"/>
      <c r="F10" s="68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</row>
    <row r="11" spans="1:24" ht="14.25" customHeight="1">
      <c r="A11" s="214" t="s">
        <v>538</v>
      </c>
      <c r="B11" s="102">
        <v>18494.650000000001</v>
      </c>
      <c r="C11" s="80">
        <v>24000</v>
      </c>
      <c r="D11" s="115">
        <v>24000</v>
      </c>
      <c r="E11" s="82"/>
      <c r="F11" s="68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</row>
    <row r="12" spans="1:24" ht="14.25" customHeight="1">
      <c r="A12" s="214" t="s">
        <v>539</v>
      </c>
      <c r="B12" s="103">
        <v>-17340.48</v>
      </c>
      <c r="C12" s="83">
        <v>10000</v>
      </c>
      <c r="D12" s="116">
        <v>10000</v>
      </c>
      <c r="E12" s="82"/>
      <c r="F12" s="68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spans="1:24" ht="14.25" customHeight="1">
      <c r="A13" s="79" t="s">
        <v>406</v>
      </c>
      <c r="B13" s="84">
        <f t="shared" ref="B13:C13" si="0">SUM(B11:B12)</f>
        <v>1154.1700000000019</v>
      </c>
      <c r="C13" s="84">
        <f t="shared" si="0"/>
        <v>34000</v>
      </c>
      <c r="D13" s="117">
        <f>SUM(D11:D12)</f>
        <v>34000</v>
      </c>
      <c r="E13" s="69"/>
      <c r="F13" s="6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</row>
    <row r="14" spans="1:24" ht="14.25" customHeight="1">
      <c r="A14" s="233" t="s">
        <v>396</v>
      </c>
      <c r="B14" s="234"/>
      <c r="C14" s="235"/>
      <c r="D14" s="112"/>
      <c r="E14" s="69"/>
      <c r="F14" s="6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24" ht="14.25" customHeight="1">
      <c r="A15" s="79" t="s">
        <v>407</v>
      </c>
      <c r="B15" s="71" t="s">
        <v>405</v>
      </c>
      <c r="C15" s="71" t="s">
        <v>405</v>
      </c>
      <c r="D15" s="112"/>
      <c r="E15" s="69"/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</row>
    <row r="16" spans="1:24" ht="14.25" customHeight="1">
      <c r="A16" s="214" t="s">
        <v>540</v>
      </c>
      <c r="B16" s="102">
        <v>760.51</v>
      </c>
      <c r="C16" s="80">
        <v>3000</v>
      </c>
      <c r="D16" s="118">
        <v>3000</v>
      </c>
      <c r="E16" s="82"/>
      <c r="F16" s="68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</row>
    <row r="17" spans="1:24" ht="14.25" customHeight="1">
      <c r="A17" s="214" t="s">
        <v>541</v>
      </c>
      <c r="B17" s="103">
        <v>5897.49</v>
      </c>
      <c r="C17" s="83">
        <v>10000</v>
      </c>
      <c r="D17" s="116">
        <v>10000</v>
      </c>
      <c r="E17" s="82"/>
      <c r="F17" s="68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</row>
    <row r="18" spans="1:24" ht="14.25" customHeight="1">
      <c r="A18" s="79" t="s">
        <v>408</v>
      </c>
      <c r="B18" s="84">
        <f t="shared" ref="B18:C18" si="1">SUM(B16:B17)</f>
        <v>6658</v>
      </c>
      <c r="C18" s="84">
        <f t="shared" si="1"/>
        <v>13000</v>
      </c>
      <c r="D18" s="117">
        <f>SUM(D16:D17)</f>
        <v>13000</v>
      </c>
      <c r="E18" s="69"/>
      <c r="F18" s="68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</row>
    <row r="19" spans="1:24" ht="14.25" customHeight="1">
      <c r="A19" s="233" t="s">
        <v>396</v>
      </c>
      <c r="B19" s="234"/>
      <c r="C19" s="235"/>
      <c r="D19" s="112"/>
      <c r="E19" s="69"/>
      <c r="F19" s="68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</row>
    <row r="20" spans="1:24" ht="14.25" customHeight="1">
      <c r="A20" s="79" t="s">
        <v>409</v>
      </c>
      <c r="B20" s="71" t="s">
        <v>405</v>
      </c>
      <c r="C20" s="71" t="s">
        <v>405</v>
      </c>
      <c r="D20" s="112"/>
      <c r="E20" s="69"/>
      <c r="F20" s="68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</row>
    <row r="21" spans="1:24" ht="14.25" customHeight="1">
      <c r="A21" s="214" t="s">
        <v>542</v>
      </c>
      <c r="B21" s="102">
        <v>190526.94</v>
      </c>
      <c r="C21" s="80">
        <v>220000</v>
      </c>
      <c r="D21" s="215">
        <v>240000</v>
      </c>
      <c r="E21" s="82" t="s">
        <v>603</v>
      </c>
      <c r="F21" s="68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</row>
    <row r="22" spans="1:24" ht="14.25" customHeight="1">
      <c r="A22" s="214" t="s">
        <v>543</v>
      </c>
      <c r="B22" s="103">
        <v>247206.95</v>
      </c>
      <c r="C22" s="83">
        <v>330000</v>
      </c>
      <c r="D22" s="216">
        <v>330000</v>
      </c>
      <c r="E22" s="82"/>
      <c r="F22" s="68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</row>
    <row r="23" spans="1:24" ht="14.25" customHeight="1">
      <c r="A23" s="79" t="s">
        <v>410</v>
      </c>
      <c r="B23" s="84">
        <f t="shared" ref="B23:C23" si="2">SUM(B21:B22)</f>
        <v>437733.89</v>
      </c>
      <c r="C23" s="84">
        <f t="shared" si="2"/>
        <v>550000</v>
      </c>
      <c r="D23" s="117">
        <f>SUM(D21:D22)</f>
        <v>570000</v>
      </c>
      <c r="E23" s="69"/>
      <c r="F23" s="68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</row>
    <row r="24" spans="1:24" ht="14.25" customHeight="1">
      <c r="A24" s="233" t="s">
        <v>396</v>
      </c>
      <c r="B24" s="234"/>
      <c r="C24" s="235"/>
      <c r="D24" s="112"/>
      <c r="E24" s="69"/>
      <c r="F24" s="68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</row>
    <row r="25" spans="1:24" ht="14.25" customHeight="1">
      <c r="A25" s="79" t="s">
        <v>411</v>
      </c>
      <c r="B25" s="71" t="s">
        <v>405</v>
      </c>
      <c r="C25" s="71" t="s">
        <v>405</v>
      </c>
      <c r="D25" s="112"/>
      <c r="E25" s="69"/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</row>
    <row r="26" spans="1:24" ht="14.25" customHeight="1">
      <c r="A26" s="214" t="s">
        <v>544</v>
      </c>
      <c r="B26" s="102">
        <v>10936.5</v>
      </c>
      <c r="C26" s="81">
        <v>12000</v>
      </c>
      <c r="D26" s="81">
        <v>21000</v>
      </c>
      <c r="E26" s="82" t="s">
        <v>604</v>
      </c>
      <c r="F26" s="6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</row>
    <row r="27" spans="1:24" ht="14.25" customHeight="1">
      <c r="A27" s="214" t="s">
        <v>545</v>
      </c>
      <c r="B27" s="103">
        <v>11791.5</v>
      </c>
      <c r="C27" s="83">
        <v>30000</v>
      </c>
      <c r="D27" s="116">
        <v>30000</v>
      </c>
      <c r="E27" s="82"/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</row>
    <row r="28" spans="1:24" ht="14.25" customHeight="1">
      <c r="A28" s="214" t="s">
        <v>546</v>
      </c>
      <c r="B28" s="103">
        <v>23180.99</v>
      </c>
      <c r="C28" s="83">
        <v>85000</v>
      </c>
      <c r="D28" s="116">
        <v>85000</v>
      </c>
      <c r="E28" s="82"/>
      <c r="F28" s="68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</row>
    <row r="29" spans="1:24" ht="14.25" customHeight="1">
      <c r="A29" s="214" t="s">
        <v>547</v>
      </c>
      <c r="B29" s="103">
        <v>34134.82</v>
      </c>
      <c r="C29" s="83">
        <v>10000</v>
      </c>
      <c r="D29" s="116">
        <v>40000</v>
      </c>
      <c r="E29" s="82" t="s">
        <v>605</v>
      </c>
      <c r="F29" s="68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</row>
    <row r="30" spans="1:24" ht="14.25" customHeight="1">
      <c r="A30" s="79" t="s">
        <v>412</v>
      </c>
      <c r="B30" s="84">
        <f>SUM(B26:B29)</f>
        <v>80043.81</v>
      </c>
      <c r="C30" s="84">
        <f>SUM(C26:C29)</f>
        <v>137000</v>
      </c>
      <c r="D30" s="117">
        <f>SUM(D26:D29)</f>
        <v>176000</v>
      </c>
      <c r="E30" s="69"/>
      <c r="F30" s="68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</row>
    <row r="31" spans="1:24" ht="14.25" customHeight="1">
      <c r="A31" s="79" t="s">
        <v>413</v>
      </c>
      <c r="B31" s="84">
        <f>B13+B18+B23+B30</f>
        <v>525589.87</v>
      </c>
      <c r="C31" s="84">
        <f>C13+C18+C23+C30</f>
        <v>734000</v>
      </c>
      <c r="D31" s="117">
        <f>D13+D18+D23+D30</f>
        <v>793000</v>
      </c>
      <c r="E31" s="69"/>
      <c r="F31" s="68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1:24" ht="14.25" customHeight="1">
      <c r="A32" s="233" t="s">
        <v>396</v>
      </c>
      <c r="B32" s="234"/>
      <c r="C32" s="235"/>
      <c r="D32" s="112"/>
      <c r="E32" s="69"/>
      <c r="F32" s="68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</row>
    <row r="33" spans="1:24" ht="14.25" customHeight="1">
      <c r="A33" s="79" t="s">
        <v>414</v>
      </c>
      <c r="B33" s="71" t="s">
        <v>403</v>
      </c>
      <c r="C33" s="71" t="s">
        <v>403</v>
      </c>
      <c r="D33" s="112"/>
      <c r="E33" s="69"/>
      <c r="F33" s="68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</row>
    <row r="34" spans="1:24" ht="14.25" customHeight="1">
      <c r="A34" s="79" t="s">
        <v>415</v>
      </c>
      <c r="B34" s="71" t="s">
        <v>405</v>
      </c>
      <c r="C34" s="71" t="s">
        <v>405</v>
      </c>
      <c r="D34" s="112"/>
      <c r="E34" s="69"/>
      <c r="F34" s="68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</row>
    <row r="35" spans="1:24" ht="14.25" customHeight="1">
      <c r="A35" s="214" t="s">
        <v>548</v>
      </c>
      <c r="B35" s="102">
        <v>0</v>
      </c>
      <c r="C35" s="102">
        <v>94307</v>
      </c>
      <c r="D35" s="118">
        <v>94307</v>
      </c>
      <c r="E35" s="82"/>
      <c r="F35" s="68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</row>
    <row r="36" spans="1:24" ht="14.25" customHeight="1">
      <c r="A36" s="214" t="s">
        <v>549</v>
      </c>
      <c r="B36" s="103">
        <v>34200</v>
      </c>
      <c r="C36" s="103">
        <v>30000</v>
      </c>
      <c r="D36" s="116">
        <v>30000</v>
      </c>
      <c r="E36" s="82"/>
      <c r="F36" s="68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</row>
    <row r="37" spans="1:24" ht="14.25" customHeight="1">
      <c r="A37" s="79" t="s">
        <v>416</v>
      </c>
      <c r="B37" s="84">
        <f t="shared" ref="B37:C37" si="3">SUM(B35:B36)</f>
        <v>34200</v>
      </c>
      <c r="C37" s="84">
        <f t="shared" si="3"/>
        <v>124307</v>
      </c>
      <c r="D37" s="117">
        <f>SUM(D35:D36)</f>
        <v>124307</v>
      </c>
      <c r="E37" s="69"/>
      <c r="F37" s="68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</row>
    <row r="38" spans="1:24" ht="14.25" customHeight="1">
      <c r="A38" s="79"/>
      <c r="B38" s="85"/>
      <c r="C38" s="85"/>
      <c r="D38" s="119"/>
      <c r="E38" s="69"/>
      <c r="F38" s="68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</row>
    <row r="39" spans="1:24" ht="14.25" customHeight="1">
      <c r="A39" s="79" t="s">
        <v>417</v>
      </c>
      <c r="B39" s="71" t="s">
        <v>405</v>
      </c>
      <c r="C39" s="71" t="s">
        <v>405</v>
      </c>
      <c r="D39" s="112"/>
      <c r="E39" s="69"/>
      <c r="F39" s="68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</row>
    <row r="40" spans="1:24" ht="14.25" customHeight="1">
      <c r="A40" s="214" t="s">
        <v>550</v>
      </c>
      <c r="B40" s="103">
        <v>1039.3599999999999</v>
      </c>
      <c r="C40" s="83">
        <v>0</v>
      </c>
      <c r="D40" s="116">
        <v>1039.3599999999999</v>
      </c>
      <c r="E40" s="82" t="s">
        <v>606</v>
      </c>
      <c r="F40" s="68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4" ht="14.25" customHeight="1">
      <c r="A41" s="79" t="s">
        <v>418</v>
      </c>
      <c r="B41" s="86">
        <f t="shared" ref="B41:C41" si="4">SUM(B40)</f>
        <v>1039.3599999999999</v>
      </c>
      <c r="C41" s="86">
        <f t="shared" si="4"/>
        <v>0</v>
      </c>
      <c r="D41" s="120">
        <f>SUM(D40)</f>
        <v>1039.3599999999999</v>
      </c>
      <c r="E41" s="69"/>
      <c r="F41" s="68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</row>
    <row r="42" spans="1:24" ht="14.25" customHeight="1">
      <c r="A42" s="233" t="s">
        <v>396</v>
      </c>
      <c r="B42" s="234"/>
      <c r="C42" s="235"/>
      <c r="D42" s="112"/>
      <c r="E42" s="69"/>
      <c r="F42" s="68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</row>
    <row r="43" spans="1:24" ht="14.25" customHeight="1">
      <c r="A43" s="79" t="s">
        <v>532</v>
      </c>
      <c r="B43" s="211">
        <v>10399138.84</v>
      </c>
      <c r="C43" s="211">
        <v>21700477.199999999</v>
      </c>
      <c r="D43" s="211">
        <f>'FY23 EFA'!J27</f>
        <v>22058801.354414999</v>
      </c>
      <c r="E43" s="82" t="s">
        <v>536</v>
      </c>
      <c r="F43" s="68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</row>
    <row r="44" spans="1:24" ht="14.25" customHeight="1">
      <c r="A44" s="233" t="s">
        <v>396</v>
      </c>
      <c r="B44" s="234"/>
      <c r="C44" s="235"/>
      <c r="D44" s="112"/>
      <c r="E44" s="69"/>
      <c r="F44" s="68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4" ht="14.25" customHeight="1">
      <c r="A45" s="79" t="s">
        <v>419</v>
      </c>
      <c r="B45" s="71" t="s">
        <v>405</v>
      </c>
      <c r="C45" s="71" t="s">
        <v>405</v>
      </c>
      <c r="D45" s="112"/>
      <c r="E45" s="69"/>
      <c r="F45" s="68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4" ht="14.25" customHeight="1">
      <c r="A46" s="71" t="s">
        <v>551</v>
      </c>
      <c r="B46" s="80">
        <v>0</v>
      </c>
      <c r="C46" s="80">
        <v>20000</v>
      </c>
      <c r="D46" s="118">
        <v>20000</v>
      </c>
      <c r="E46" s="82"/>
      <c r="F46" s="68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</row>
    <row r="47" spans="1:24" ht="14.25" customHeight="1">
      <c r="A47" s="71" t="s">
        <v>552</v>
      </c>
      <c r="B47" s="217">
        <v>45000</v>
      </c>
      <c r="C47" s="80">
        <v>0</v>
      </c>
      <c r="D47" s="118">
        <v>0</v>
      </c>
      <c r="E47" s="82"/>
      <c r="F47" s="68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</row>
    <row r="48" spans="1:24" ht="14.25" customHeight="1">
      <c r="A48" s="71" t="s">
        <v>553</v>
      </c>
      <c r="B48" s="83">
        <v>85449</v>
      </c>
      <c r="C48" s="80">
        <v>120000</v>
      </c>
      <c r="D48" s="118">
        <v>85449</v>
      </c>
      <c r="E48" s="82" t="s">
        <v>607</v>
      </c>
      <c r="F48" s="68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</row>
    <row r="49" spans="1:24" ht="14.25" customHeight="1">
      <c r="A49" s="79" t="s">
        <v>420</v>
      </c>
      <c r="B49" s="84">
        <f>SUM(B46:B48)</f>
        <v>130449</v>
      </c>
      <c r="C49" s="84">
        <f>SUM(C46:C48)</f>
        <v>140000</v>
      </c>
      <c r="D49" s="117">
        <f>SUM(D46:D48)</f>
        <v>105449</v>
      </c>
      <c r="E49" s="69"/>
      <c r="F49" s="68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</row>
    <row r="50" spans="1:24" ht="14.25" customHeight="1">
      <c r="A50" s="79" t="s">
        <v>421</v>
      </c>
      <c r="B50" s="84">
        <f>B37+B41+B43+B49</f>
        <v>10564827.199999999</v>
      </c>
      <c r="C50" s="84">
        <f>C37+C41+C43+C49</f>
        <v>21964784.199999999</v>
      </c>
      <c r="D50" s="117">
        <f>D37+D41+D43+D49</f>
        <v>22289596.714414999</v>
      </c>
      <c r="E50" s="69"/>
      <c r="F50" s="68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</row>
    <row r="51" spans="1:24" ht="14.25" customHeight="1">
      <c r="A51" s="233" t="s">
        <v>396</v>
      </c>
      <c r="B51" s="234"/>
      <c r="C51" s="235"/>
      <c r="D51" s="112"/>
      <c r="E51" s="69"/>
      <c r="F51" s="68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</row>
    <row r="52" spans="1:24" ht="14.25" customHeight="1">
      <c r="A52" s="79" t="s">
        <v>422</v>
      </c>
      <c r="B52" s="71" t="s">
        <v>403</v>
      </c>
      <c r="C52" s="71" t="s">
        <v>403</v>
      </c>
      <c r="D52" s="112"/>
      <c r="E52" s="69"/>
      <c r="F52" s="68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</row>
    <row r="53" spans="1:24" ht="14.25" customHeight="1">
      <c r="A53" s="79" t="s">
        <v>423</v>
      </c>
      <c r="B53" s="71" t="s">
        <v>405</v>
      </c>
      <c r="C53" s="71" t="s">
        <v>405</v>
      </c>
      <c r="D53" s="112"/>
      <c r="E53" s="69"/>
      <c r="F53" s="68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</row>
    <row r="54" spans="1:24" ht="14.25" customHeight="1">
      <c r="A54" s="214" t="s">
        <v>554</v>
      </c>
      <c r="B54" s="83">
        <v>26000</v>
      </c>
      <c r="C54" s="83">
        <v>20000</v>
      </c>
      <c r="D54" s="116">
        <v>26000</v>
      </c>
      <c r="E54" s="82" t="s">
        <v>608</v>
      </c>
      <c r="F54" s="68"/>
      <c r="G54" s="69"/>
      <c r="H54" s="69"/>
      <c r="I54" s="129"/>
      <c r="J54" s="129"/>
      <c r="K54" s="218"/>
      <c r="L54" s="129" t="s">
        <v>599</v>
      </c>
      <c r="M54" s="219">
        <f>2384156.16-252173.14-32712.26-45773.1</f>
        <v>2053497.6600000001</v>
      </c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</row>
    <row r="55" spans="1:24" ht="14.25" customHeight="1">
      <c r="A55" s="79" t="s">
        <v>424</v>
      </c>
      <c r="B55" s="86">
        <f t="shared" ref="B55:C55" si="5">SUM(B54)</f>
        <v>26000</v>
      </c>
      <c r="C55" s="86">
        <f t="shared" si="5"/>
        <v>20000</v>
      </c>
      <c r="D55" s="120">
        <f>SUM(D54)</f>
        <v>26000</v>
      </c>
      <c r="E55" s="69"/>
      <c r="F55" s="68"/>
      <c r="G55" s="69"/>
      <c r="H55" s="69"/>
      <c r="I55" s="129"/>
      <c r="J55" s="129"/>
      <c r="K55" s="218"/>
      <c r="L55" s="129" t="s">
        <v>600</v>
      </c>
      <c r="M55" s="219">
        <v>229060.64</v>
      </c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</row>
    <row r="56" spans="1:24" ht="14.25" customHeight="1">
      <c r="A56" s="79"/>
      <c r="B56" s="87"/>
      <c r="C56" s="87"/>
      <c r="D56" s="121"/>
      <c r="E56" s="69"/>
      <c r="F56" s="68"/>
      <c r="G56" s="69"/>
      <c r="H56" s="69"/>
      <c r="I56" s="129"/>
      <c r="J56" s="129"/>
      <c r="K56" s="218"/>
      <c r="L56" s="129" t="s">
        <v>601</v>
      </c>
      <c r="M56" s="219">
        <v>147748</v>
      </c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</row>
    <row r="57" spans="1:24" ht="14.25" customHeight="1">
      <c r="A57" s="233" t="s">
        <v>396</v>
      </c>
      <c r="B57" s="234"/>
      <c r="C57" s="235"/>
      <c r="D57" s="112"/>
      <c r="E57" s="69"/>
      <c r="F57" s="68"/>
      <c r="G57" s="69"/>
      <c r="H57" s="69"/>
      <c r="I57" s="129"/>
      <c r="J57" s="129"/>
      <c r="K57" s="218"/>
      <c r="L57" s="129" t="s">
        <v>602</v>
      </c>
      <c r="M57" s="219">
        <v>269595.09000000003</v>
      </c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</row>
    <row r="58" spans="1:24" ht="14.25" customHeight="1">
      <c r="A58" s="79" t="s">
        <v>425</v>
      </c>
      <c r="B58" s="71" t="s">
        <v>405</v>
      </c>
      <c r="C58" s="71" t="s">
        <v>405</v>
      </c>
      <c r="D58" s="112"/>
      <c r="E58" s="69"/>
      <c r="F58" s="68"/>
      <c r="G58" s="69"/>
      <c r="H58" s="69"/>
      <c r="I58" s="129"/>
      <c r="J58" s="129"/>
      <c r="K58" s="218"/>
      <c r="L58" s="129"/>
      <c r="M58" s="219">
        <f>SUM(M54:M57)</f>
        <v>2699901.39</v>
      </c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</row>
    <row r="59" spans="1:24" ht="14.25" customHeight="1">
      <c r="A59" s="214" t="s">
        <v>555</v>
      </c>
      <c r="B59" s="80">
        <v>0</v>
      </c>
      <c r="C59" s="80">
        <v>220000</v>
      </c>
      <c r="D59" s="118">
        <v>220000</v>
      </c>
      <c r="E59" s="82"/>
      <c r="F59" s="68"/>
      <c r="G59" s="69"/>
      <c r="H59" s="69"/>
      <c r="I59" s="218"/>
      <c r="J59" s="129"/>
      <c r="K59" s="218"/>
      <c r="L59" s="218"/>
      <c r="M59" s="218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</row>
    <row r="60" spans="1:24" ht="14.25" customHeight="1">
      <c r="A60" s="79" t="s">
        <v>426</v>
      </c>
      <c r="B60" s="84">
        <f t="shared" ref="B60:C60" si="6">SUM(B59)</f>
        <v>0</v>
      </c>
      <c r="C60" s="84">
        <f t="shared" si="6"/>
        <v>220000</v>
      </c>
      <c r="D60" s="117">
        <f>SUM(D59)</f>
        <v>220000</v>
      </c>
      <c r="E60" s="69"/>
      <c r="F60" s="68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</row>
    <row r="61" spans="1:24" ht="14.25" customHeight="1">
      <c r="A61" s="233" t="s">
        <v>396</v>
      </c>
      <c r="B61" s="234"/>
      <c r="C61" s="235"/>
      <c r="D61" s="112"/>
      <c r="E61" s="69"/>
      <c r="F61" s="68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</row>
    <row r="62" spans="1:24" ht="14.25" customHeight="1">
      <c r="A62" s="79" t="s">
        <v>427</v>
      </c>
      <c r="B62" s="71" t="s">
        <v>405</v>
      </c>
      <c r="C62" s="71" t="s">
        <v>405</v>
      </c>
      <c r="D62" s="112"/>
      <c r="E62" s="69"/>
      <c r="F62" s="68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</row>
    <row r="63" spans="1:24" ht="14.25" customHeight="1">
      <c r="A63" s="214" t="s">
        <v>556</v>
      </c>
      <c r="B63" s="80">
        <v>1988004.2</v>
      </c>
      <c r="C63" s="80">
        <v>0</v>
      </c>
      <c r="D63" s="118">
        <v>2699901.39</v>
      </c>
      <c r="E63" s="82"/>
      <c r="F63" s="68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</row>
    <row r="64" spans="1:24" ht="14.25" customHeight="1">
      <c r="A64" s="214" t="s">
        <v>557</v>
      </c>
      <c r="B64" s="83">
        <v>33580.089999999997</v>
      </c>
      <c r="C64" s="80">
        <v>60000</v>
      </c>
      <c r="D64" s="118">
        <v>60000</v>
      </c>
      <c r="E64" s="82"/>
      <c r="F64" s="68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</row>
    <row r="65" spans="1:24" ht="14.25" customHeight="1">
      <c r="A65" s="79" t="s">
        <v>428</v>
      </c>
      <c r="B65" s="84">
        <f t="shared" ref="B65:C65" si="7">SUM(B63:B64)</f>
        <v>2021584.29</v>
      </c>
      <c r="C65" s="84">
        <f t="shared" si="7"/>
        <v>60000</v>
      </c>
      <c r="D65" s="117">
        <f>SUM(D63:D64)</f>
        <v>2759901.39</v>
      </c>
      <c r="E65" s="69"/>
      <c r="F65" s="68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</row>
    <row r="66" spans="1:24" ht="14.25" customHeight="1">
      <c r="A66" s="79" t="s">
        <v>429</v>
      </c>
      <c r="B66" s="84">
        <f>B55+B60+B65</f>
        <v>2047584.29</v>
      </c>
      <c r="C66" s="84">
        <f>C55+C60+C65</f>
        <v>300000</v>
      </c>
      <c r="D66" s="117">
        <f>D55+D60+D65</f>
        <v>3005901.39</v>
      </c>
      <c r="E66" s="69"/>
      <c r="F66" s="68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</row>
    <row r="67" spans="1:24" ht="14.25" customHeight="1">
      <c r="A67" s="79" t="s">
        <v>430</v>
      </c>
      <c r="B67" s="88">
        <f>B31+B50+B66</f>
        <v>13138001.359999999</v>
      </c>
      <c r="C67" s="88">
        <f>C31+C50+C66</f>
        <v>22998784.199999999</v>
      </c>
      <c r="D67" s="122">
        <f>D31+D50+D66</f>
        <v>26088498.104414999</v>
      </c>
      <c r="E67" s="69"/>
      <c r="F67" s="68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</row>
    <row r="68" spans="1:24" ht="14.25" customHeight="1">
      <c r="A68" s="233" t="s">
        <v>396</v>
      </c>
      <c r="B68" s="234"/>
      <c r="C68" s="235"/>
      <c r="D68" s="112"/>
      <c r="E68" s="69"/>
      <c r="F68" s="68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</row>
    <row r="69" spans="1:24" ht="14.25" customHeight="1">
      <c r="A69" s="79" t="s">
        <v>431</v>
      </c>
      <c r="B69" s="79" t="s">
        <v>401</v>
      </c>
      <c r="C69" s="79" t="s">
        <v>401</v>
      </c>
      <c r="D69" s="112"/>
      <c r="E69" s="69"/>
      <c r="F69" s="68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</row>
    <row r="70" spans="1:24" ht="14.25" customHeight="1">
      <c r="A70" s="79" t="s">
        <v>432</v>
      </c>
      <c r="B70" s="71" t="s">
        <v>403</v>
      </c>
      <c r="C70" s="71" t="s">
        <v>403</v>
      </c>
      <c r="D70" s="112"/>
      <c r="E70" s="69"/>
      <c r="F70" s="68"/>
      <c r="G70" s="69"/>
      <c r="H70" s="69"/>
      <c r="I70" s="69"/>
      <c r="J70" s="68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</row>
    <row r="71" spans="1:24" ht="14.25" customHeight="1">
      <c r="A71" s="214" t="s">
        <v>558</v>
      </c>
      <c r="B71" s="80">
        <v>2500298.12</v>
      </c>
      <c r="C71" s="102">
        <v>5048977.99</v>
      </c>
      <c r="D71" s="118">
        <v>5048977.99</v>
      </c>
      <c r="E71" s="82"/>
      <c r="F71" s="82"/>
      <c r="G71" s="89" t="s">
        <v>491</v>
      </c>
      <c r="H71" s="90" t="s">
        <v>492</v>
      </c>
      <c r="I71" s="95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</row>
    <row r="72" spans="1:24" ht="14.25" customHeight="1">
      <c r="A72" s="214" t="s">
        <v>559</v>
      </c>
      <c r="B72" s="83">
        <v>70487.38</v>
      </c>
      <c r="C72" s="103">
        <v>99955.1</v>
      </c>
      <c r="D72" s="116">
        <v>140974.76</v>
      </c>
      <c r="E72" s="82" t="s">
        <v>609</v>
      </c>
      <c r="F72" s="82" t="s">
        <v>433</v>
      </c>
      <c r="G72" s="91">
        <f>C71+C72+C73+C74+C94+C108+C117+C118+C127+C139+C156+C160+C168+C177+C178+C187+C197+C226+C227+C228+C229+C245+C246+C256+C280+C292</f>
        <v>11598055.140000001</v>
      </c>
      <c r="H72" s="91">
        <f>$D$71+$D$72+$D$73+$D$74+$D$94+$D$108+$D$117+$D$118+$D$127+$D$139+$D$156+$D$160+$D$168+$D$177+$D$178+$D$187+$D$197+$D$226+$D$227+$D$228+$D$229+$D$245+$D$246+$D$256+$D$280+$D$292</f>
        <v>11570698.014</v>
      </c>
      <c r="I72" s="95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</row>
    <row r="73" spans="1:24" ht="14.25" customHeight="1">
      <c r="A73" s="214" t="s">
        <v>560</v>
      </c>
      <c r="B73" s="83">
        <v>138058.15</v>
      </c>
      <c r="C73" s="103">
        <v>300000</v>
      </c>
      <c r="D73" s="116">
        <v>300000</v>
      </c>
      <c r="E73" s="82"/>
      <c r="F73" s="82" t="s">
        <v>434</v>
      </c>
      <c r="G73" s="89">
        <f>C75+C76+C95+C96+C109+C110+C120+C121+C128+C129+C140+C141+C161+C162+C169+C170+C179+C180+C188+C198+C199+C230+C231+C248+C247+C259+C258+C282+C281</f>
        <v>2908883.8499999996</v>
      </c>
      <c r="H73" s="89">
        <f>D76+D77+D95+D96+D109+D110+D120+D121+D128+D129+D140+D141+D161+D162+D169+D170+D179+D180+D188+D198+D199+D230+D231+D248+D247+D259+D258+D282+D281</f>
        <v>3725494.1222903999</v>
      </c>
      <c r="I73" s="95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</row>
    <row r="74" spans="1:24" ht="14.25" customHeight="1">
      <c r="A74" s="214" t="s">
        <v>561</v>
      </c>
      <c r="B74" s="83">
        <v>0</v>
      </c>
      <c r="C74" s="103">
        <v>1000</v>
      </c>
      <c r="D74" s="116">
        <v>1000</v>
      </c>
      <c r="E74" s="82"/>
      <c r="F74" s="82" t="s">
        <v>435</v>
      </c>
      <c r="G74" s="89">
        <f>C78+C97+C111+C122+C130+C142+C163+C170+C181+C190+C200+C232+C249+C260+C283+C291</f>
        <v>898484.96999999974</v>
      </c>
      <c r="H74" s="89">
        <f>D78+D97+D111+D122+D130+D142+D163+D170+D181+D190+D200+D232+D249+D260+D283+D291</f>
        <v>863520.21519599995</v>
      </c>
      <c r="I74" s="95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</row>
    <row r="75" spans="1:24" ht="14.25" customHeight="1">
      <c r="A75" s="214" t="s">
        <v>562</v>
      </c>
      <c r="B75" s="83">
        <v>0</v>
      </c>
      <c r="C75" s="103">
        <v>380000</v>
      </c>
      <c r="D75" s="116">
        <v>380000</v>
      </c>
      <c r="E75" s="82"/>
      <c r="F75" s="82"/>
      <c r="G75" s="89"/>
      <c r="H75" s="92"/>
      <c r="I75" s="95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</row>
    <row r="76" spans="1:24" ht="14.25" customHeight="1">
      <c r="A76" s="214" t="s">
        <v>563</v>
      </c>
      <c r="B76" s="83">
        <v>268548.25</v>
      </c>
      <c r="C76" s="103">
        <v>591477.05000000005</v>
      </c>
      <c r="D76" s="103">
        <v>591477.05000000005</v>
      </c>
      <c r="E76" s="82"/>
      <c r="F76" s="82" t="s">
        <v>436</v>
      </c>
      <c r="G76" s="91">
        <f>SUM(G72:G75)</f>
        <v>15405423.960000001</v>
      </c>
      <c r="H76" s="109">
        <f>SUM(H72:H75)</f>
        <v>16159712.351486402</v>
      </c>
      <c r="I76" s="95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</row>
    <row r="77" spans="1:24" ht="14.25" customHeight="1">
      <c r="A77" s="214" t="s">
        <v>564</v>
      </c>
      <c r="B77" s="83">
        <v>653532.01</v>
      </c>
      <c r="C77" s="103">
        <v>1383132.39</v>
      </c>
      <c r="D77" s="103">
        <v>1383132.39</v>
      </c>
      <c r="E77" s="82"/>
      <c r="F77" s="82"/>
      <c r="G77" s="68"/>
      <c r="H77" s="68"/>
      <c r="I77" s="95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</row>
    <row r="78" spans="1:24" ht="14.25" customHeight="1">
      <c r="A78" s="214" t="s">
        <v>565</v>
      </c>
      <c r="B78" s="83">
        <v>206271.13</v>
      </c>
      <c r="C78" s="103">
        <v>444391.55</v>
      </c>
      <c r="D78" s="103">
        <v>444391.55</v>
      </c>
      <c r="E78" s="82"/>
      <c r="F78" s="82" t="s">
        <v>437</v>
      </c>
      <c r="G78" s="93">
        <f>C67</f>
        <v>22998784.199999999</v>
      </c>
      <c r="H78" s="93">
        <f>D67</f>
        <v>26088498.104414999</v>
      </c>
      <c r="I78" s="95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</row>
    <row r="79" spans="1:24" ht="14.25" customHeight="1">
      <c r="A79" s="214" t="s">
        <v>566</v>
      </c>
      <c r="B79" s="83">
        <v>873.51</v>
      </c>
      <c r="C79" s="103">
        <v>12000</v>
      </c>
      <c r="D79" s="103">
        <v>12000</v>
      </c>
      <c r="E79" s="82"/>
      <c r="F79" s="82"/>
      <c r="G79" s="68"/>
      <c r="H79" s="68"/>
      <c r="I79" s="95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</row>
    <row r="80" spans="1:24" ht="14.25" customHeight="1">
      <c r="A80" s="214" t="s">
        <v>567</v>
      </c>
      <c r="B80" s="83">
        <v>85086.48</v>
      </c>
      <c r="C80" s="103">
        <v>115765.5</v>
      </c>
      <c r="D80" s="103">
        <v>115765.5</v>
      </c>
      <c r="E80" s="82"/>
      <c r="F80" s="82" t="s">
        <v>438</v>
      </c>
      <c r="G80" s="94">
        <f>G76/G78</f>
        <v>0.66983644987633739</v>
      </c>
      <c r="H80" s="94">
        <f>H76/H78</f>
        <v>0.61941903619019245</v>
      </c>
      <c r="I80" s="95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</row>
    <row r="81" spans="1:24" ht="14.25" customHeight="1">
      <c r="A81" s="214" t="s">
        <v>568</v>
      </c>
      <c r="B81" s="83">
        <v>6553.78</v>
      </c>
      <c r="C81" s="103">
        <v>15000</v>
      </c>
      <c r="D81" s="103">
        <v>15000</v>
      </c>
      <c r="E81" s="82"/>
      <c r="F81" s="68"/>
      <c r="G81" s="69"/>
      <c r="H81" s="69"/>
      <c r="I81" s="95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</row>
    <row r="82" spans="1:24" ht="14.25" customHeight="1">
      <c r="A82" s="214" t="s">
        <v>569</v>
      </c>
      <c r="B82" s="83">
        <v>2865.31</v>
      </c>
      <c r="C82" s="103">
        <v>2500</v>
      </c>
      <c r="D82" s="103">
        <v>2500</v>
      </c>
      <c r="E82" s="82"/>
      <c r="F82" s="68"/>
      <c r="G82" s="69"/>
      <c r="H82" s="69"/>
      <c r="I82" s="95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</row>
    <row r="83" spans="1:24" ht="14.25" customHeight="1">
      <c r="A83" s="214" t="s">
        <v>570</v>
      </c>
      <c r="B83" s="83">
        <v>12642.47</v>
      </c>
      <c r="C83" s="103">
        <v>36000</v>
      </c>
      <c r="D83" s="103">
        <v>36000</v>
      </c>
      <c r="E83" s="82"/>
      <c r="F83" s="68"/>
      <c r="G83" s="69"/>
      <c r="H83" s="69"/>
      <c r="I83" s="95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</row>
    <row r="84" spans="1:24" ht="14.25" customHeight="1">
      <c r="A84" s="214" t="s">
        <v>571</v>
      </c>
      <c r="B84" s="83">
        <v>1590</v>
      </c>
      <c r="C84" s="103">
        <v>15000</v>
      </c>
      <c r="D84" s="103">
        <v>15000</v>
      </c>
      <c r="E84" s="82"/>
      <c r="F84" s="68"/>
      <c r="G84" s="69"/>
      <c r="H84" s="69"/>
      <c r="I84" s="95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</row>
    <row r="85" spans="1:24" ht="14.25" customHeight="1">
      <c r="A85" s="214" t="s">
        <v>572</v>
      </c>
      <c r="B85" s="83">
        <v>212502.26</v>
      </c>
      <c r="C85" s="103">
        <v>250000</v>
      </c>
      <c r="D85" s="103">
        <v>425000</v>
      </c>
      <c r="E85" s="82" t="s">
        <v>609</v>
      </c>
      <c r="F85" s="68"/>
      <c r="G85" s="69"/>
      <c r="H85" s="69"/>
      <c r="I85" s="95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</row>
    <row r="86" spans="1:24" ht="14.25" customHeight="1">
      <c r="A86" s="214" t="s">
        <v>573</v>
      </c>
      <c r="B86" s="83">
        <v>352.76</v>
      </c>
      <c r="C86" s="103">
        <v>42000</v>
      </c>
      <c r="D86" s="103">
        <v>42000</v>
      </c>
      <c r="E86" s="82"/>
      <c r="F86" s="68"/>
      <c r="G86" s="69"/>
      <c r="H86" s="69"/>
      <c r="I86" s="95"/>
      <c r="J86" s="69"/>
      <c r="K86" s="69"/>
      <c r="L86" s="69"/>
      <c r="M86" s="69"/>
      <c r="N86" s="69"/>
      <c r="O86" s="107" t="s">
        <v>499</v>
      </c>
      <c r="P86" s="69"/>
      <c r="Q86" s="69"/>
      <c r="R86" s="69"/>
      <c r="S86" s="69"/>
      <c r="T86" s="69"/>
      <c r="U86" s="69"/>
      <c r="V86" s="69"/>
      <c r="W86" s="69"/>
      <c r="X86" s="69"/>
    </row>
    <row r="87" spans="1:24" ht="14.25" customHeight="1">
      <c r="A87" s="214" t="s">
        <v>574</v>
      </c>
      <c r="B87" s="83">
        <v>8137.78</v>
      </c>
      <c r="C87" s="103">
        <v>22200</v>
      </c>
      <c r="D87" s="103">
        <v>22200</v>
      </c>
      <c r="E87" s="82"/>
      <c r="F87" s="68"/>
      <c r="G87" s="69"/>
      <c r="H87" s="69"/>
      <c r="I87" s="95"/>
      <c r="J87" s="101"/>
      <c r="K87" s="69"/>
      <c r="L87" s="69"/>
      <c r="M87" s="69"/>
      <c r="N87" s="69"/>
      <c r="O87" s="107" t="s">
        <v>497</v>
      </c>
      <c r="P87" s="69"/>
      <c r="Q87" s="69"/>
      <c r="R87" s="69"/>
      <c r="S87" s="69"/>
      <c r="T87" s="69"/>
      <c r="U87" s="69"/>
      <c r="V87" s="69"/>
      <c r="W87" s="69"/>
      <c r="X87" s="69"/>
    </row>
    <row r="88" spans="1:24" ht="14.25" customHeight="1">
      <c r="A88" s="214" t="s">
        <v>575</v>
      </c>
      <c r="B88" s="98">
        <v>752.11</v>
      </c>
      <c r="C88" s="103">
        <v>0</v>
      </c>
      <c r="D88" s="103">
        <v>752.11</v>
      </c>
      <c r="E88" s="82" t="s">
        <v>609</v>
      </c>
      <c r="F88" s="100"/>
      <c r="G88" s="101"/>
      <c r="H88" s="101"/>
      <c r="I88" s="95"/>
      <c r="J88" s="69"/>
      <c r="K88" s="101"/>
      <c r="L88" s="101"/>
      <c r="M88" s="101"/>
      <c r="N88" s="101"/>
      <c r="O88" s="108" t="s">
        <v>498</v>
      </c>
      <c r="P88" s="101"/>
      <c r="Q88" s="101"/>
      <c r="R88" s="101"/>
      <c r="S88" s="101"/>
      <c r="T88" s="101"/>
      <c r="U88" s="101"/>
      <c r="V88" s="101"/>
      <c r="W88" s="101"/>
      <c r="X88" s="101"/>
    </row>
    <row r="89" spans="1:24" ht="14.25" customHeight="1">
      <c r="A89" s="214" t="s">
        <v>576</v>
      </c>
      <c r="B89" s="83">
        <v>2500</v>
      </c>
      <c r="C89" s="103">
        <v>50000</v>
      </c>
      <c r="D89" s="103">
        <v>50000</v>
      </c>
      <c r="E89" s="82"/>
      <c r="F89" s="68"/>
      <c r="G89" s="69"/>
      <c r="H89" s="69"/>
      <c r="I89" s="95"/>
      <c r="J89" s="101"/>
      <c r="K89" s="69"/>
      <c r="L89" s="69"/>
      <c r="M89" s="69"/>
      <c r="N89" s="69"/>
      <c r="O89" s="107"/>
      <c r="P89" s="69"/>
      <c r="Q89" s="69"/>
      <c r="R89" s="69"/>
      <c r="S89" s="69"/>
      <c r="T89" s="69"/>
      <c r="U89" s="69"/>
      <c r="V89" s="69"/>
      <c r="W89" s="69"/>
      <c r="X89" s="69"/>
    </row>
    <row r="90" spans="1:24" ht="14.25" customHeight="1">
      <c r="A90" s="214" t="s">
        <v>578</v>
      </c>
      <c r="B90" s="83">
        <v>106303.95</v>
      </c>
      <c r="C90" s="103">
        <v>479000</v>
      </c>
      <c r="D90" s="103">
        <v>479000</v>
      </c>
      <c r="E90" s="82" t="s">
        <v>527</v>
      </c>
      <c r="F90" s="68"/>
      <c r="G90" s="69"/>
      <c r="H90" s="69"/>
      <c r="I90" s="95"/>
      <c r="J90" s="101"/>
      <c r="K90" s="69"/>
      <c r="L90" s="69"/>
      <c r="M90" s="69"/>
      <c r="N90" s="69"/>
      <c r="O90" s="107" t="s">
        <v>500</v>
      </c>
      <c r="P90" s="69"/>
      <c r="Q90" s="69"/>
      <c r="R90" s="69"/>
      <c r="S90" s="69"/>
      <c r="T90" s="69"/>
      <c r="U90" s="69"/>
      <c r="V90" s="69"/>
      <c r="W90" s="69"/>
      <c r="X90" s="69"/>
    </row>
    <row r="91" spans="1:24" ht="14.25" customHeight="1">
      <c r="A91" s="79" t="s">
        <v>439</v>
      </c>
      <c r="B91" s="125">
        <f t="shared" ref="B91:C91" si="8">SUM(B71:B90)</f>
        <v>4277355.4499999993</v>
      </c>
      <c r="C91" s="125">
        <f t="shared" si="8"/>
        <v>9288399.5799999982</v>
      </c>
      <c r="D91" s="125">
        <f>SUM(D71:D90)</f>
        <v>9505171.3499999978</v>
      </c>
      <c r="E91" s="69"/>
      <c r="F91" s="68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</row>
    <row r="92" spans="1:24" ht="14.25" customHeight="1">
      <c r="A92" s="233" t="s">
        <v>396</v>
      </c>
      <c r="B92" s="234"/>
      <c r="C92" s="235"/>
      <c r="D92" s="112"/>
      <c r="E92" s="69"/>
      <c r="F92" s="68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</row>
    <row r="93" spans="1:24" ht="14.25" customHeight="1">
      <c r="A93" s="79" t="s">
        <v>440</v>
      </c>
      <c r="B93" s="71" t="s">
        <v>403</v>
      </c>
      <c r="C93" s="71" t="s">
        <v>403</v>
      </c>
      <c r="D93" s="112"/>
      <c r="E93" s="69"/>
      <c r="F93" s="68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</row>
    <row r="94" spans="1:24" ht="14.25" customHeight="1">
      <c r="A94" s="214" t="s">
        <v>558</v>
      </c>
      <c r="B94" s="80">
        <v>502305.29</v>
      </c>
      <c r="C94" s="102">
        <v>886372.25</v>
      </c>
      <c r="D94" s="118">
        <v>1004610.5799999998</v>
      </c>
      <c r="E94" s="82" t="s">
        <v>609</v>
      </c>
      <c r="F94" s="68"/>
      <c r="G94" s="69"/>
      <c r="H94" s="69"/>
      <c r="I94" s="95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</row>
    <row r="95" spans="1:24" ht="14.25" customHeight="1">
      <c r="A95" s="214" t="s">
        <v>563</v>
      </c>
      <c r="B95" s="83">
        <v>57528.959999999999</v>
      </c>
      <c r="C95" s="103">
        <v>120354.85</v>
      </c>
      <c r="D95" s="118">
        <v>115057.92</v>
      </c>
      <c r="E95" s="82" t="s">
        <v>609</v>
      </c>
      <c r="F95" s="68"/>
      <c r="G95" s="69"/>
      <c r="H95" s="69"/>
      <c r="I95" s="95"/>
      <c r="J95" s="69"/>
      <c r="K95" s="69"/>
      <c r="L95" s="69"/>
      <c r="M95" s="69"/>
      <c r="N95" s="69"/>
      <c r="O95" s="69" t="s">
        <v>507</v>
      </c>
      <c r="P95" s="69"/>
      <c r="Q95" s="69"/>
      <c r="R95" s="69"/>
      <c r="S95" s="69" t="s">
        <v>510</v>
      </c>
      <c r="T95" s="69"/>
      <c r="U95" s="69"/>
      <c r="V95" s="69"/>
      <c r="W95" s="69"/>
      <c r="X95" s="69"/>
    </row>
    <row r="96" spans="1:24" ht="14.25" customHeight="1">
      <c r="A96" s="214" t="s">
        <v>564</v>
      </c>
      <c r="B96" s="83">
        <v>119004.18</v>
      </c>
      <c r="C96" s="103">
        <v>211045.23</v>
      </c>
      <c r="D96" s="118">
        <v>238008.36</v>
      </c>
      <c r="E96" s="82" t="s">
        <v>609</v>
      </c>
      <c r="F96" s="68"/>
      <c r="G96" s="69"/>
      <c r="H96" s="69"/>
      <c r="I96" s="95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</row>
    <row r="97" spans="1:24" ht="14.25" customHeight="1">
      <c r="A97" s="214" t="s">
        <v>565</v>
      </c>
      <c r="B97" s="83">
        <v>36872.04</v>
      </c>
      <c r="C97" s="103">
        <v>67807.48</v>
      </c>
      <c r="D97" s="103">
        <v>67807.48</v>
      </c>
      <c r="E97" s="82"/>
      <c r="F97" s="68"/>
      <c r="G97" s="69"/>
      <c r="H97" s="69"/>
      <c r="I97" s="95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</row>
    <row r="98" spans="1:24" ht="14.25" customHeight="1">
      <c r="A98" s="214" t="s">
        <v>566</v>
      </c>
      <c r="B98" s="83">
        <v>64.319999999999993</v>
      </c>
      <c r="C98" s="103">
        <v>2200</v>
      </c>
      <c r="D98" s="103">
        <v>2200</v>
      </c>
      <c r="E98" s="82"/>
      <c r="F98" s="68"/>
      <c r="G98" s="69"/>
      <c r="H98" s="69"/>
      <c r="I98" s="95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</row>
    <row r="99" spans="1:24" ht="14.25" customHeight="1">
      <c r="A99" s="214" t="s">
        <v>569</v>
      </c>
      <c r="B99" s="83">
        <v>4032.42</v>
      </c>
      <c r="C99" s="80">
        <v>20000</v>
      </c>
      <c r="D99" s="80">
        <v>20000</v>
      </c>
      <c r="E99" s="82"/>
      <c r="F99" s="68"/>
      <c r="G99" s="69"/>
      <c r="H99" s="69"/>
      <c r="I99" s="95"/>
      <c r="J99" s="101"/>
      <c r="K99" s="69"/>
      <c r="L99" s="69"/>
      <c r="M99" s="69"/>
      <c r="N99" s="69" t="s">
        <v>509</v>
      </c>
      <c r="O99" s="69" t="s">
        <v>508</v>
      </c>
      <c r="P99" s="69"/>
      <c r="Q99" s="69"/>
      <c r="R99" s="69"/>
      <c r="S99" s="69"/>
      <c r="T99" s="69"/>
      <c r="U99" s="69"/>
      <c r="V99" s="69"/>
      <c r="W99" s="69"/>
      <c r="X99" s="69"/>
    </row>
    <row r="100" spans="1:24" ht="14.25" customHeight="1">
      <c r="A100" s="214" t="s">
        <v>572</v>
      </c>
      <c r="B100" s="83">
        <v>53792.15</v>
      </c>
      <c r="C100" s="80">
        <v>140000</v>
      </c>
      <c r="D100" s="80">
        <v>140000</v>
      </c>
      <c r="E100" s="82"/>
      <c r="F100" s="68"/>
      <c r="G100" s="69"/>
      <c r="H100" s="69"/>
      <c r="I100" s="95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</row>
    <row r="101" spans="1:24" ht="14.25" customHeight="1">
      <c r="A101" s="214" t="s">
        <v>574</v>
      </c>
      <c r="B101" s="83">
        <v>0</v>
      </c>
      <c r="C101" s="80">
        <v>10000</v>
      </c>
      <c r="D101" s="80">
        <v>10000</v>
      </c>
      <c r="E101" s="82"/>
      <c r="F101" s="68"/>
      <c r="G101" s="69"/>
      <c r="H101" s="69"/>
      <c r="I101" s="95"/>
      <c r="J101" s="101"/>
      <c r="K101" s="69"/>
      <c r="L101" s="69"/>
      <c r="M101" s="69"/>
      <c r="N101" s="69"/>
      <c r="O101" s="69" t="s">
        <v>511</v>
      </c>
      <c r="P101" s="69"/>
      <c r="Q101" s="69"/>
      <c r="R101" s="69"/>
      <c r="S101" s="69"/>
      <c r="T101" s="69"/>
      <c r="U101" s="69"/>
      <c r="V101" s="69"/>
      <c r="W101" s="69"/>
      <c r="X101" s="69"/>
    </row>
    <row r="102" spans="1:24" ht="14.25" customHeight="1">
      <c r="A102" s="214" t="s">
        <v>577</v>
      </c>
      <c r="B102" s="98">
        <v>11210</v>
      </c>
      <c r="C102" s="212">
        <v>0</v>
      </c>
      <c r="D102" s="212">
        <v>11210</v>
      </c>
      <c r="E102" s="99" t="s">
        <v>616</v>
      </c>
      <c r="F102" s="100"/>
      <c r="G102" s="101"/>
      <c r="H102" s="101"/>
      <c r="I102" s="95"/>
      <c r="J102" s="69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</row>
    <row r="103" spans="1:24" ht="14.25" customHeight="1">
      <c r="A103" s="214" t="s">
        <v>578</v>
      </c>
      <c r="B103" s="83">
        <v>0</v>
      </c>
      <c r="C103" s="80">
        <v>10000</v>
      </c>
      <c r="D103" s="80">
        <v>10000</v>
      </c>
      <c r="E103" s="82"/>
      <c r="F103" s="68"/>
      <c r="G103" s="69"/>
      <c r="H103" s="69"/>
      <c r="I103" s="95"/>
      <c r="J103" s="69"/>
      <c r="K103" s="69"/>
      <c r="L103" s="69"/>
      <c r="M103" s="69"/>
      <c r="N103" s="69"/>
      <c r="O103" s="69" t="s">
        <v>512</v>
      </c>
      <c r="P103" s="69"/>
      <c r="Q103" s="69"/>
      <c r="R103" s="69"/>
      <c r="S103" s="69"/>
      <c r="T103" s="69"/>
      <c r="U103" s="69"/>
      <c r="V103" s="69"/>
      <c r="W103" s="69"/>
      <c r="X103" s="69"/>
    </row>
    <row r="104" spans="1:24" ht="14.25" customHeight="1">
      <c r="A104" s="214" t="s">
        <v>537</v>
      </c>
      <c r="B104" s="83">
        <v>0</v>
      </c>
      <c r="C104" s="80">
        <v>5000</v>
      </c>
      <c r="D104" s="80">
        <v>5000</v>
      </c>
      <c r="E104" s="82"/>
      <c r="F104" s="68"/>
      <c r="G104" s="69"/>
      <c r="H104" s="69"/>
      <c r="I104" s="95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</row>
    <row r="105" spans="1:24" ht="14.25" customHeight="1">
      <c r="A105" s="79" t="s">
        <v>441</v>
      </c>
      <c r="B105" s="117">
        <f t="shared" ref="B105:C105" si="9">SUM(B94:B104)</f>
        <v>784809.36</v>
      </c>
      <c r="C105" s="117">
        <f t="shared" si="9"/>
        <v>1472779.81</v>
      </c>
      <c r="D105" s="117">
        <f>SUM(D94:D104)</f>
        <v>1623894.3399999999</v>
      </c>
      <c r="E105" s="69"/>
      <c r="F105" s="68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</row>
    <row r="106" spans="1:24" ht="14.25" customHeight="1">
      <c r="A106" s="233" t="s">
        <v>396</v>
      </c>
      <c r="B106" s="234"/>
      <c r="C106" s="235"/>
      <c r="D106" s="112"/>
      <c r="E106" s="69"/>
      <c r="F106" s="68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</row>
    <row r="107" spans="1:24" ht="14.25" customHeight="1">
      <c r="A107" s="79" t="s">
        <v>442</v>
      </c>
      <c r="B107" s="71" t="s">
        <v>403</v>
      </c>
      <c r="C107" s="71" t="s">
        <v>403</v>
      </c>
      <c r="D107" s="112"/>
      <c r="E107" s="69"/>
      <c r="F107" s="68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</row>
    <row r="108" spans="1:24" ht="14.25" customHeight="1">
      <c r="A108" s="214" t="s">
        <v>558</v>
      </c>
      <c r="B108" s="80">
        <v>330919.84000000003</v>
      </c>
      <c r="C108" s="102">
        <v>624202.51</v>
      </c>
      <c r="D108" s="102">
        <v>661839.68000000005</v>
      </c>
      <c r="E108" s="82" t="s">
        <v>609</v>
      </c>
      <c r="F108" s="68"/>
      <c r="G108" s="69"/>
      <c r="H108" s="69"/>
      <c r="I108" s="95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</row>
    <row r="109" spans="1:24" ht="14.25" customHeight="1">
      <c r="A109" s="214" t="s">
        <v>563</v>
      </c>
      <c r="B109" s="83">
        <v>14964.67</v>
      </c>
      <c r="C109" s="103">
        <v>60621.77</v>
      </c>
      <c r="D109" s="103">
        <v>37629.550000000003</v>
      </c>
      <c r="E109" s="82" t="s">
        <v>609</v>
      </c>
      <c r="F109" s="68"/>
      <c r="G109" s="69"/>
      <c r="H109" s="69"/>
      <c r="I109" s="95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</row>
    <row r="110" spans="1:24" ht="14.25" customHeight="1">
      <c r="A110" s="214" t="s">
        <v>564</v>
      </c>
      <c r="B110" s="83">
        <v>53225.33</v>
      </c>
      <c r="C110" s="103">
        <v>148622.62</v>
      </c>
      <c r="D110" s="103">
        <v>136025.33000000002</v>
      </c>
      <c r="E110" s="82" t="s">
        <v>609</v>
      </c>
      <c r="F110" s="68"/>
      <c r="G110" s="69"/>
      <c r="H110" s="69"/>
      <c r="I110" s="95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</row>
    <row r="111" spans="1:24" ht="14.25" customHeight="1">
      <c r="A111" s="214" t="s">
        <v>565</v>
      </c>
      <c r="B111" s="83">
        <v>18354.080000000002</v>
      </c>
      <c r="C111" s="103">
        <v>47751.49</v>
      </c>
      <c r="D111" s="103">
        <v>50630.735520000002</v>
      </c>
      <c r="E111" s="82" t="s">
        <v>609</v>
      </c>
      <c r="F111" s="68"/>
      <c r="G111" s="69"/>
      <c r="H111" s="69"/>
      <c r="I111" s="95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</row>
    <row r="112" spans="1:24" ht="14.25" customHeight="1">
      <c r="A112" s="214" t="s">
        <v>566</v>
      </c>
      <c r="B112" s="83">
        <v>5.21</v>
      </c>
      <c r="C112" s="103">
        <v>900</v>
      </c>
      <c r="D112" s="103">
        <v>900</v>
      </c>
      <c r="E112" s="82"/>
      <c r="F112" s="68"/>
      <c r="G112" s="69"/>
      <c r="H112" s="69"/>
      <c r="I112" s="95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</row>
    <row r="113" spans="1:24" ht="14.25" customHeight="1">
      <c r="A113" s="214" t="s">
        <v>572</v>
      </c>
      <c r="B113" s="83">
        <v>0</v>
      </c>
      <c r="C113" s="103">
        <v>2500</v>
      </c>
      <c r="D113" s="103">
        <v>2500</v>
      </c>
      <c r="E113" s="82"/>
      <c r="F113" s="68"/>
      <c r="G113" s="69"/>
      <c r="H113" s="69"/>
      <c r="I113" s="95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</row>
    <row r="114" spans="1:24" ht="14.25" customHeight="1">
      <c r="A114" s="79" t="s">
        <v>443</v>
      </c>
      <c r="B114" s="117">
        <f t="shared" ref="B114:C114" si="10">SUM(B108:B113)</f>
        <v>417469.13000000006</v>
      </c>
      <c r="C114" s="117">
        <f t="shared" si="10"/>
        <v>884598.39</v>
      </c>
      <c r="D114" s="117">
        <f>SUM(D108:D113)</f>
        <v>889525.29552000004</v>
      </c>
      <c r="E114" s="82"/>
      <c r="F114" s="68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</row>
    <row r="115" spans="1:24" ht="14.25" customHeight="1">
      <c r="A115" s="233" t="s">
        <v>396</v>
      </c>
      <c r="B115" s="234"/>
      <c r="C115" s="235"/>
      <c r="D115" s="112"/>
      <c r="E115" s="69"/>
      <c r="F115" s="68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</row>
    <row r="116" spans="1:24" ht="14.25" customHeight="1">
      <c r="A116" s="79" t="s">
        <v>444</v>
      </c>
      <c r="B116" s="71" t="s">
        <v>403</v>
      </c>
      <c r="C116" s="71" t="s">
        <v>403</v>
      </c>
      <c r="D116" s="112"/>
      <c r="E116" s="69"/>
      <c r="F116" s="68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</row>
    <row r="117" spans="1:24" ht="14.25" customHeight="1">
      <c r="A117" s="71" t="s">
        <v>558</v>
      </c>
      <c r="B117" s="80">
        <v>51783.59</v>
      </c>
      <c r="C117" s="102">
        <v>92199.63</v>
      </c>
      <c r="D117" s="118">
        <v>103567.18</v>
      </c>
      <c r="E117" s="82" t="s">
        <v>609</v>
      </c>
      <c r="F117" s="68"/>
      <c r="G117" s="69"/>
      <c r="H117" s="69"/>
      <c r="I117" s="95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</row>
    <row r="118" spans="1:24" ht="14.25" customHeight="1">
      <c r="A118" s="71" t="s">
        <v>559</v>
      </c>
      <c r="B118" s="83">
        <v>81366.740000000005</v>
      </c>
      <c r="C118" s="103">
        <v>165047.28</v>
      </c>
      <c r="D118" s="116">
        <v>162733.48000000001</v>
      </c>
      <c r="E118" s="82" t="s">
        <v>609</v>
      </c>
      <c r="F118" s="5"/>
      <c r="G118" s="69"/>
      <c r="H118" s="69"/>
      <c r="I118" s="95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</row>
    <row r="119" spans="1:24" ht="14.25" customHeight="1">
      <c r="A119" s="71" t="s">
        <v>561</v>
      </c>
      <c r="B119" s="83">
        <v>0</v>
      </c>
      <c r="C119" s="103">
        <v>1000</v>
      </c>
      <c r="D119" s="116">
        <v>1000</v>
      </c>
      <c r="E119" s="82"/>
      <c r="F119" s="68"/>
      <c r="G119" s="69"/>
      <c r="H119" s="69"/>
      <c r="I119" s="95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</row>
    <row r="120" spans="1:24" ht="14.25" customHeight="1">
      <c r="A120" s="71" t="s">
        <v>563</v>
      </c>
      <c r="B120" s="83">
        <v>12056.84</v>
      </c>
      <c r="C120" s="103">
        <v>32004.93</v>
      </c>
      <c r="D120" s="116">
        <v>24113.68</v>
      </c>
      <c r="E120" s="82" t="s">
        <v>609</v>
      </c>
      <c r="F120" s="68"/>
      <c r="G120" s="69"/>
      <c r="H120" s="69"/>
      <c r="I120" s="95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</row>
    <row r="121" spans="1:24" ht="14.25" customHeight="1">
      <c r="A121" s="71" t="s">
        <v>564</v>
      </c>
      <c r="B121" s="83">
        <v>21508.97</v>
      </c>
      <c r="C121" s="103">
        <v>61250.49</v>
      </c>
      <c r="D121" s="116">
        <v>43017.94</v>
      </c>
      <c r="E121" s="82" t="s">
        <v>609</v>
      </c>
      <c r="F121" s="68"/>
      <c r="G121" s="69"/>
      <c r="H121" s="69"/>
      <c r="I121" s="95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</row>
    <row r="122" spans="1:24" ht="14.25" customHeight="1">
      <c r="A122" s="71" t="s">
        <v>565</v>
      </c>
      <c r="B122" s="83">
        <v>6429.84</v>
      </c>
      <c r="C122" s="103">
        <v>19951.080000000002</v>
      </c>
      <c r="D122" s="116">
        <v>12859.68</v>
      </c>
      <c r="E122" s="82" t="s">
        <v>609</v>
      </c>
      <c r="F122" s="68"/>
      <c r="G122" s="69"/>
      <c r="H122" s="69"/>
      <c r="I122" s="95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</row>
    <row r="123" spans="1:24" ht="14.25" customHeight="1">
      <c r="A123" s="71" t="s">
        <v>566</v>
      </c>
      <c r="B123" s="83">
        <v>39.31</v>
      </c>
      <c r="C123" s="103">
        <v>350</v>
      </c>
      <c r="D123" s="123">
        <v>350</v>
      </c>
      <c r="E123" s="82"/>
      <c r="F123" s="68"/>
      <c r="G123" s="69"/>
      <c r="H123" s="69"/>
      <c r="I123" s="95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</row>
    <row r="124" spans="1:24" ht="14.25" customHeight="1">
      <c r="A124" s="79" t="s">
        <v>445</v>
      </c>
      <c r="B124" s="117">
        <f t="shared" ref="B124:C124" si="11">SUM(B117:B123)</f>
        <v>173185.29</v>
      </c>
      <c r="C124" s="117">
        <f t="shared" si="11"/>
        <v>371803.41000000003</v>
      </c>
      <c r="D124" s="117">
        <f>SUM(D117:D123)</f>
        <v>347641.96</v>
      </c>
      <c r="E124" s="69"/>
      <c r="F124" s="68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</row>
    <row r="125" spans="1:24" ht="14.25" customHeight="1">
      <c r="A125" s="233" t="s">
        <v>396</v>
      </c>
      <c r="B125" s="234"/>
      <c r="C125" s="235"/>
      <c r="D125" s="112"/>
      <c r="E125" s="69"/>
      <c r="F125" s="68"/>
      <c r="G125" s="69"/>
      <c r="H125" s="68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</row>
    <row r="126" spans="1:24" ht="14.25" customHeight="1">
      <c r="A126" s="79" t="s">
        <v>446</v>
      </c>
      <c r="B126" s="71" t="s">
        <v>403</v>
      </c>
      <c r="C126" s="71" t="s">
        <v>403</v>
      </c>
      <c r="D126" s="112"/>
      <c r="E126" s="69"/>
      <c r="F126" s="68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</row>
    <row r="127" spans="1:24" ht="14.25" customHeight="1">
      <c r="A127" s="71" t="s">
        <v>558</v>
      </c>
      <c r="B127" s="80">
        <v>55116.74</v>
      </c>
      <c r="C127" s="102">
        <v>84617.79</v>
      </c>
      <c r="D127" s="118">
        <v>110233.48</v>
      </c>
      <c r="E127" s="82" t="s">
        <v>609</v>
      </c>
      <c r="F127" s="68"/>
      <c r="G127" s="69"/>
      <c r="H127" s="69"/>
      <c r="I127" s="95"/>
      <c r="J127" s="101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</row>
    <row r="128" spans="1:24" ht="14.25" customHeight="1">
      <c r="A128" s="71" t="s">
        <v>563</v>
      </c>
      <c r="B128" s="83">
        <v>6433.5</v>
      </c>
      <c r="C128" s="103">
        <v>4913.8999999999996</v>
      </c>
      <c r="D128" s="116">
        <v>12867</v>
      </c>
      <c r="E128" s="82" t="s">
        <v>609</v>
      </c>
      <c r="F128" s="68"/>
      <c r="G128" s="69"/>
      <c r="H128" s="69"/>
      <c r="I128" s="95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</row>
    <row r="129" spans="1:24" ht="14.25" customHeight="1">
      <c r="A129" s="71" t="s">
        <v>564</v>
      </c>
      <c r="B129" s="83">
        <v>22280.39</v>
      </c>
      <c r="C129" s="103">
        <v>20147.5</v>
      </c>
      <c r="D129" s="116">
        <v>44560.78</v>
      </c>
      <c r="E129" s="82" t="s">
        <v>609</v>
      </c>
      <c r="F129" s="68"/>
      <c r="G129" s="69"/>
      <c r="H129" s="69"/>
      <c r="I129" s="95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</row>
    <row r="130" spans="1:24" ht="14.25" customHeight="1">
      <c r="A130" s="71" t="s">
        <v>565</v>
      </c>
      <c r="B130" s="83">
        <v>7352.52</v>
      </c>
      <c r="C130" s="103">
        <v>6473.26</v>
      </c>
      <c r="D130" s="116">
        <v>14705.04</v>
      </c>
      <c r="E130" s="82" t="s">
        <v>609</v>
      </c>
      <c r="F130" s="68"/>
      <c r="G130" s="69"/>
      <c r="H130" s="69"/>
      <c r="I130" s="95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</row>
    <row r="131" spans="1:24" ht="14.25" customHeight="1">
      <c r="A131" s="71" t="s">
        <v>566</v>
      </c>
      <c r="B131" s="83">
        <v>0</v>
      </c>
      <c r="C131" s="103">
        <v>400</v>
      </c>
      <c r="D131" s="123">
        <v>400</v>
      </c>
      <c r="E131" s="82"/>
      <c r="F131" s="68"/>
      <c r="G131" s="69"/>
      <c r="H131" s="69"/>
      <c r="I131" s="95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</row>
    <row r="132" spans="1:24" ht="14.25" customHeight="1">
      <c r="A132" s="79" t="s">
        <v>447</v>
      </c>
      <c r="B132" s="117">
        <f>SUM(B127:B131)</f>
        <v>91183.150000000009</v>
      </c>
      <c r="C132" s="117">
        <f>SUM(C127:C131)</f>
        <v>116552.44999999998</v>
      </c>
      <c r="D132" s="117">
        <f>SUM(D127:D131)</f>
        <v>182766.30000000002</v>
      </c>
      <c r="E132" s="69"/>
      <c r="F132" s="68"/>
      <c r="G132" s="68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</row>
    <row r="133" spans="1:24" ht="14.25" customHeight="1">
      <c r="A133" s="233" t="s">
        <v>396</v>
      </c>
      <c r="B133" s="234"/>
      <c r="C133" s="235"/>
      <c r="D133" s="112"/>
      <c r="E133" s="69"/>
      <c r="F133" s="68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</row>
    <row r="134" spans="1:24" ht="14.25" customHeight="1">
      <c r="A134" s="79" t="s">
        <v>448</v>
      </c>
      <c r="B134" s="71" t="s">
        <v>403</v>
      </c>
      <c r="C134" s="71" t="s">
        <v>403</v>
      </c>
      <c r="D134" s="112"/>
      <c r="E134" s="69"/>
      <c r="F134" s="68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</row>
    <row r="135" spans="1:24" ht="14.25" customHeight="1">
      <c r="A135" s="71" t="s">
        <v>571</v>
      </c>
      <c r="B135" s="80">
        <v>11980</v>
      </c>
      <c r="C135" s="80">
        <v>40000</v>
      </c>
      <c r="D135" s="118">
        <v>40000</v>
      </c>
      <c r="E135" s="82"/>
      <c r="F135" s="68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</row>
    <row r="136" spans="1:24" ht="14.25" customHeight="1">
      <c r="A136" s="79" t="s">
        <v>449</v>
      </c>
      <c r="B136" s="84">
        <f t="shared" ref="B136:D136" si="12">SUM(B135)</f>
        <v>11980</v>
      </c>
      <c r="C136" s="84">
        <f t="shared" si="12"/>
        <v>40000</v>
      </c>
      <c r="D136" s="117">
        <f t="shared" si="12"/>
        <v>40000</v>
      </c>
      <c r="E136" s="69"/>
      <c r="F136" s="68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</row>
    <row r="137" spans="1:24" ht="14.25" customHeight="1">
      <c r="A137" s="233" t="s">
        <v>396</v>
      </c>
      <c r="B137" s="234"/>
      <c r="C137" s="235"/>
      <c r="D137" s="112"/>
      <c r="E137" s="69"/>
      <c r="F137" s="68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</row>
    <row r="138" spans="1:24" ht="14.25" customHeight="1">
      <c r="A138" s="79" t="s">
        <v>450</v>
      </c>
      <c r="B138" s="71" t="s">
        <v>403</v>
      </c>
      <c r="C138" s="71" t="s">
        <v>403</v>
      </c>
      <c r="D138" s="112"/>
      <c r="E138" s="69"/>
      <c r="F138" s="68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</row>
    <row r="139" spans="1:24" ht="14.25" customHeight="1">
      <c r="A139" s="214" t="s">
        <v>558</v>
      </c>
      <c r="B139" s="80">
        <v>394237.1</v>
      </c>
      <c r="C139" s="102">
        <v>1018945.62</v>
      </c>
      <c r="D139" s="118">
        <v>788474.2</v>
      </c>
      <c r="E139" s="82" t="s">
        <v>609</v>
      </c>
      <c r="F139" s="68"/>
      <c r="G139" s="69"/>
      <c r="H139" s="69"/>
      <c r="I139" s="95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</row>
    <row r="140" spans="1:24" ht="14.25" customHeight="1">
      <c r="A140" s="214" t="s">
        <v>563</v>
      </c>
      <c r="B140" s="83">
        <v>42904.31</v>
      </c>
      <c r="C140" s="103">
        <v>129880.71</v>
      </c>
      <c r="D140" s="116">
        <v>85808.62</v>
      </c>
      <c r="E140" s="82" t="s">
        <v>609</v>
      </c>
      <c r="F140" s="68"/>
      <c r="G140" s="69"/>
      <c r="H140" s="69"/>
      <c r="I140" s="95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</row>
    <row r="141" spans="1:24" ht="14.25" customHeight="1">
      <c r="A141" s="214" t="s">
        <v>564</v>
      </c>
      <c r="B141" s="83">
        <v>79921.16</v>
      </c>
      <c r="C141" s="103">
        <v>242610.95</v>
      </c>
      <c r="D141" s="116">
        <v>159842.32</v>
      </c>
      <c r="E141" s="82" t="s">
        <v>609</v>
      </c>
      <c r="F141" s="68"/>
      <c r="G141" s="69"/>
      <c r="H141" s="69"/>
      <c r="I141" s="95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</row>
    <row r="142" spans="1:24" ht="14.25" customHeight="1">
      <c r="A142" s="214" t="s">
        <v>565</v>
      </c>
      <c r="B142" s="83">
        <v>24706.55</v>
      </c>
      <c r="C142" s="103">
        <v>76278.559999999998</v>
      </c>
      <c r="D142" s="116">
        <v>49413.1</v>
      </c>
      <c r="E142" s="82" t="s">
        <v>609</v>
      </c>
      <c r="F142" s="68"/>
      <c r="G142" s="69"/>
      <c r="H142" s="69"/>
      <c r="I142" s="95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</row>
    <row r="143" spans="1:24" ht="14.25" customHeight="1">
      <c r="A143" s="214" t="s">
        <v>566</v>
      </c>
      <c r="B143" s="83">
        <v>0.25</v>
      </c>
      <c r="C143" s="103">
        <v>1250</v>
      </c>
      <c r="D143" s="123">
        <v>1250</v>
      </c>
      <c r="E143" s="82"/>
      <c r="F143" s="68"/>
      <c r="G143" s="69"/>
      <c r="H143" s="69"/>
      <c r="I143" s="95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</row>
    <row r="144" spans="1:24" ht="14.25" customHeight="1">
      <c r="A144" s="214" t="s">
        <v>580</v>
      </c>
      <c r="B144" s="83">
        <v>7500</v>
      </c>
      <c r="C144" s="103">
        <v>30000</v>
      </c>
      <c r="D144" s="116">
        <v>30000</v>
      </c>
      <c r="E144" s="82"/>
      <c r="F144" s="68"/>
      <c r="G144" s="69"/>
      <c r="H144" s="69"/>
      <c r="I144" s="95"/>
      <c r="J144" s="101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</row>
    <row r="145" spans="1:24" ht="14.25" customHeight="1">
      <c r="A145" s="214" t="s">
        <v>572</v>
      </c>
      <c r="B145" s="98">
        <v>1041.33</v>
      </c>
      <c r="C145" s="103">
        <v>0</v>
      </c>
      <c r="D145" s="124">
        <v>2000</v>
      </c>
      <c r="E145" s="82" t="s">
        <v>609</v>
      </c>
      <c r="F145" s="100"/>
      <c r="G145" s="101"/>
      <c r="H145" s="101"/>
      <c r="I145" s="95"/>
      <c r="J145" s="69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</row>
    <row r="146" spans="1:24" ht="14.25" customHeight="1">
      <c r="A146" s="79" t="s">
        <v>451</v>
      </c>
      <c r="B146" s="117">
        <f t="shared" ref="B146:C146" si="13">SUM(B139:B145)</f>
        <v>550310.69999999995</v>
      </c>
      <c r="C146" s="117">
        <f t="shared" si="13"/>
        <v>1498965.84</v>
      </c>
      <c r="D146" s="117">
        <f>SUM(D139:D145)</f>
        <v>1116788.24</v>
      </c>
      <c r="E146" s="69"/>
      <c r="F146" s="68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</row>
    <row r="147" spans="1:24" ht="14.25" customHeight="1">
      <c r="A147" s="233" t="s">
        <v>396</v>
      </c>
      <c r="B147" s="234"/>
      <c r="C147" s="235"/>
      <c r="D147" s="112"/>
      <c r="E147" s="69"/>
      <c r="F147" s="68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</row>
    <row r="148" spans="1:24" ht="14.25" customHeight="1">
      <c r="A148" s="79" t="s">
        <v>452</v>
      </c>
      <c r="B148" s="71" t="s">
        <v>403</v>
      </c>
      <c r="C148" s="71" t="s">
        <v>403</v>
      </c>
      <c r="D148" s="112"/>
      <c r="E148" s="69"/>
      <c r="F148" s="68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</row>
    <row r="149" spans="1:24" ht="14.25" customHeight="1">
      <c r="A149" s="71" t="s">
        <v>569</v>
      </c>
      <c r="B149" s="80">
        <v>4823.5200000000004</v>
      </c>
      <c r="C149" s="103">
        <v>60001</v>
      </c>
      <c r="D149" s="118">
        <v>60001</v>
      </c>
      <c r="E149" s="82"/>
      <c r="F149" s="68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</row>
    <row r="150" spans="1:24" ht="14.25" customHeight="1">
      <c r="A150" s="71" t="s">
        <v>580</v>
      </c>
      <c r="B150" s="83">
        <v>15355</v>
      </c>
      <c r="C150" s="103">
        <v>50000</v>
      </c>
      <c r="D150" s="116">
        <v>50000</v>
      </c>
      <c r="E150" s="82"/>
      <c r="F150" s="68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</row>
    <row r="151" spans="1:24" ht="14.25" customHeight="1">
      <c r="A151" s="71" t="s">
        <v>572</v>
      </c>
      <c r="B151" s="83">
        <v>16872.32</v>
      </c>
      <c r="C151" s="103">
        <v>42007</v>
      </c>
      <c r="D151" s="116">
        <v>42007</v>
      </c>
      <c r="E151" s="82"/>
      <c r="F151" s="5"/>
      <c r="G151" s="69"/>
      <c r="H151" s="69"/>
      <c r="I151" s="101"/>
      <c r="J151" s="101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</row>
    <row r="152" spans="1:24" ht="14.25" customHeight="1">
      <c r="A152" s="97" t="s">
        <v>574</v>
      </c>
      <c r="B152" s="98">
        <v>462.13</v>
      </c>
      <c r="C152" s="103">
        <v>0</v>
      </c>
      <c r="D152" s="124">
        <v>462.13</v>
      </c>
      <c r="E152" s="99" t="s">
        <v>617</v>
      </c>
      <c r="F152" s="5"/>
      <c r="G152" s="101"/>
      <c r="H152" s="101"/>
      <c r="I152" s="69"/>
      <c r="J152" s="69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</row>
    <row r="153" spans="1:24" ht="14.25" customHeight="1">
      <c r="A153" s="79" t="s">
        <v>453</v>
      </c>
      <c r="B153" s="117">
        <f t="shared" ref="B153:C153" si="14">SUM(B149:B152)</f>
        <v>37512.969999999994</v>
      </c>
      <c r="C153" s="117">
        <f t="shared" si="14"/>
        <v>152008</v>
      </c>
      <c r="D153" s="117">
        <f>SUM(D149:D152)</f>
        <v>152470.13</v>
      </c>
      <c r="E153" s="69"/>
      <c r="F153" s="68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</row>
    <row r="154" spans="1:24" ht="14.25" customHeight="1">
      <c r="A154" s="233" t="s">
        <v>396</v>
      </c>
      <c r="B154" s="234"/>
      <c r="C154" s="235"/>
      <c r="D154" s="112"/>
      <c r="E154" s="69"/>
      <c r="F154" s="68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</row>
    <row r="155" spans="1:24" ht="14.25" customHeight="1">
      <c r="A155" s="79" t="s">
        <v>454</v>
      </c>
      <c r="B155" s="71" t="s">
        <v>403</v>
      </c>
      <c r="C155" s="71" t="s">
        <v>403</v>
      </c>
      <c r="D155" s="112"/>
      <c r="E155" s="69"/>
      <c r="F155" s="68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</row>
    <row r="156" spans="1:24" ht="14.25" customHeight="1">
      <c r="A156" s="71" t="s">
        <v>568</v>
      </c>
      <c r="B156" s="80">
        <v>0</v>
      </c>
      <c r="C156" s="80">
        <v>15000</v>
      </c>
      <c r="D156" s="115">
        <v>15000</v>
      </c>
      <c r="E156" s="82"/>
      <c r="F156" s="68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</row>
    <row r="157" spans="1:24" ht="14.25" customHeight="1">
      <c r="A157" s="79" t="s">
        <v>455</v>
      </c>
      <c r="B157" s="84">
        <f t="shared" ref="B157:C157" si="15">SUM(B156)</f>
        <v>0</v>
      </c>
      <c r="C157" s="84">
        <f t="shared" si="15"/>
        <v>15000</v>
      </c>
      <c r="D157" s="117">
        <f>SUM(D156)</f>
        <v>15000</v>
      </c>
      <c r="E157" s="69"/>
      <c r="F157" s="68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</row>
    <row r="158" spans="1:24" ht="14.25" customHeight="1">
      <c r="A158" s="233" t="s">
        <v>396</v>
      </c>
      <c r="B158" s="234"/>
      <c r="C158" s="235"/>
      <c r="D158" s="112"/>
      <c r="E158" s="69"/>
      <c r="F158" s="68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</row>
    <row r="159" spans="1:24" ht="14.25" customHeight="1">
      <c r="A159" s="79" t="s">
        <v>456</v>
      </c>
      <c r="B159" s="71" t="s">
        <v>403</v>
      </c>
      <c r="C159" s="71" t="s">
        <v>403</v>
      </c>
      <c r="D159" s="112"/>
      <c r="E159" s="69"/>
      <c r="F159" s="68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</row>
    <row r="160" spans="1:24" ht="14.25" customHeight="1">
      <c r="A160" s="71" t="s">
        <v>558</v>
      </c>
      <c r="B160" s="80">
        <v>0</v>
      </c>
      <c r="C160" s="102">
        <v>19290.580000000002</v>
      </c>
      <c r="D160" s="118">
        <v>0</v>
      </c>
      <c r="E160" s="82" t="s">
        <v>609</v>
      </c>
      <c r="F160" s="68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</row>
    <row r="161" spans="1:24" ht="14.25" customHeight="1">
      <c r="A161" s="71" t="s">
        <v>563</v>
      </c>
      <c r="B161" s="83">
        <v>0</v>
      </c>
      <c r="C161" s="103">
        <v>1467.24</v>
      </c>
      <c r="D161" s="116">
        <v>0</v>
      </c>
      <c r="E161" s="82" t="s">
        <v>609</v>
      </c>
      <c r="F161" s="68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</row>
    <row r="162" spans="1:24" ht="14.25" customHeight="1">
      <c r="A162" s="71" t="s">
        <v>564</v>
      </c>
      <c r="B162" s="83">
        <v>0</v>
      </c>
      <c r="C162" s="103">
        <v>4593.09</v>
      </c>
      <c r="D162" s="116">
        <v>0</v>
      </c>
      <c r="E162" s="82" t="s">
        <v>609</v>
      </c>
      <c r="F162" s="68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</row>
    <row r="163" spans="1:24" ht="14.25" customHeight="1">
      <c r="A163" s="71" t="s">
        <v>565</v>
      </c>
      <c r="B163" s="83">
        <v>0</v>
      </c>
      <c r="C163" s="103">
        <v>1475.73</v>
      </c>
      <c r="D163" s="116">
        <v>0</v>
      </c>
      <c r="E163" s="82" t="s">
        <v>609</v>
      </c>
      <c r="F163" s="68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</row>
    <row r="164" spans="1:24" ht="14.25" customHeight="1">
      <c r="A164" s="71" t="s">
        <v>566</v>
      </c>
      <c r="B164" s="83">
        <v>0</v>
      </c>
      <c r="C164" s="103">
        <v>19.29</v>
      </c>
      <c r="D164" s="116">
        <v>0</v>
      </c>
      <c r="E164" s="82" t="s">
        <v>609</v>
      </c>
      <c r="F164" s="68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</row>
    <row r="165" spans="1:24" ht="14.25" customHeight="1">
      <c r="A165" s="79" t="s">
        <v>457</v>
      </c>
      <c r="B165" s="84">
        <f t="shared" ref="B165:C165" si="16">SUM(B160:B164)</f>
        <v>0</v>
      </c>
      <c r="C165" s="84">
        <f t="shared" si="16"/>
        <v>26845.930000000004</v>
      </c>
      <c r="D165" s="117">
        <f>SUM(D160:D164)</f>
        <v>0</v>
      </c>
      <c r="E165" s="69"/>
      <c r="F165" s="68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</row>
    <row r="166" spans="1:24" ht="14.25" customHeight="1">
      <c r="A166" s="233" t="s">
        <v>396</v>
      </c>
      <c r="B166" s="234"/>
      <c r="C166" s="235"/>
      <c r="D166" s="112"/>
      <c r="E166" s="69"/>
      <c r="F166" s="68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</row>
    <row r="167" spans="1:24" ht="14.25" customHeight="1">
      <c r="A167" s="79" t="s">
        <v>458</v>
      </c>
      <c r="B167" s="71" t="s">
        <v>403</v>
      </c>
      <c r="C167" s="71" t="s">
        <v>403</v>
      </c>
      <c r="D167" s="112"/>
      <c r="E167" s="69"/>
      <c r="F167" s="68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</row>
    <row r="168" spans="1:24" ht="14.25" customHeight="1">
      <c r="A168" s="71" t="s">
        <v>558</v>
      </c>
      <c r="B168" s="80">
        <v>0</v>
      </c>
      <c r="C168" s="102">
        <v>24400</v>
      </c>
      <c r="D168" s="118">
        <v>24400</v>
      </c>
      <c r="E168" s="82"/>
      <c r="F168" s="68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</row>
    <row r="169" spans="1:24" ht="14.25" customHeight="1">
      <c r="A169" s="71" t="s">
        <v>564</v>
      </c>
      <c r="B169" s="83">
        <v>0</v>
      </c>
      <c r="C169" s="103">
        <v>4880</v>
      </c>
      <c r="D169" s="116">
        <v>4880</v>
      </c>
      <c r="E169" s="82"/>
      <c r="F169" s="68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</row>
    <row r="170" spans="1:24" ht="14.25" customHeight="1">
      <c r="A170" s="71" t="s">
        <v>565</v>
      </c>
      <c r="B170" s="83">
        <v>0</v>
      </c>
      <c r="C170" s="103">
        <v>1866.6</v>
      </c>
      <c r="D170" s="116">
        <v>1866.6</v>
      </c>
      <c r="E170" s="82"/>
      <c r="F170" s="68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</row>
    <row r="171" spans="1:24" ht="14.25" customHeight="1">
      <c r="A171" s="71" t="s">
        <v>566</v>
      </c>
      <c r="B171" s="83">
        <v>0</v>
      </c>
      <c r="C171" s="103">
        <v>17</v>
      </c>
      <c r="D171" s="123">
        <v>17</v>
      </c>
      <c r="E171" s="82"/>
      <c r="F171" s="68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</row>
    <row r="172" spans="1:24" ht="14.25" customHeight="1">
      <c r="A172" s="71" t="s">
        <v>581</v>
      </c>
      <c r="B172" s="83">
        <v>0</v>
      </c>
      <c r="C172" s="103">
        <v>6000</v>
      </c>
      <c r="D172" s="116">
        <v>6000</v>
      </c>
      <c r="E172" s="82"/>
      <c r="F172" s="68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</row>
    <row r="173" spans="1:24" ht="14.25" customHeight="1">
      <c r="A173" s="71" t="s">
        <v>572</v>
      </c>
      <c r="B173" s="83">
        <v>0</v>
      </c>
      <c r="C173" s="103">
        <v>15000</v>
      </c>
      <c r="D173" s="116">
        <v>15000</v>
      </c>
      <c r="E173" s="82"/>
      <c r="F173" s="68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</row>
    <row r="174" spans="1:24" ht="14.25" customHeight="1">
      <c r="A174" s="79" t="s">
        <v>459</v>
      </c>
      <c r="B174" s="117">
        <f t="shared" ref="B174:C174" si="17">SUM(B168:B173)</f>
        <v>0</v>
      </c>
      <c r="C174" s="117">
        <f t="shared" si="17"/>
        <v>52163.6</v>
      </c>
      <c r="D174" s="117">
        <f>SUM(D168:D173)</f>
        <v>52163.6</v>
      </c>
      <c r="E174" s="69"/>
      <c r="F174" s="68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</row>
    <row r="175" spans="1:24" ht="14.25" customHeight="1">
      <c r="A175" s="233" t="s">
        <v>396</v>
      </c>
      <c r="B175" s="234"/>
      <c r="C175" s="235"/>
      <c r="D175" s="112"/>
      <c r="E175" s="69"/>
      <c r="F175" s="68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</row>
    <row r="176" spans="1:24" ht="14.25" customHeight="1">
      <c r="A176" s="79" t="s">
        <v>460</v>
      </c>
      <c r="B176" s="71" t="s">
        <v>403</v>
      </c>
      <c r="C176" s="71" t="s">
        <v>403</v>
      </c>
      <c r="D176" s="112"/>
      <c r="E176" s="69"/>
      <c r="F176" s="68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</row>
    <row r="177" spans="1:24" ht="14.25" customHeight="1">
      <c r="A177" s="214" t="s">
        <v>558</v>
      </c>
      <c r="B177" s="102">
        <v>390502</v>
      </c>
      <c r="C177" s="102">
        <v>845914.87</v>
      </c>
      <c r="D177" s="118">
        <v>781004</v>
      </c>
      <c r="E177" s="82" t="s">
        <v>609</v>
      </c>
      <c r="F177" s="68"/>
      <c r="G177" s="69"/>
      <c r="H177" s="69"/>
      <c r="I177" s="95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</row>
    <row r="178" spans="1:24" ht="14.25" customHeight="1">
      <c r="A178" s="214" t="s">
        <v>561</v>
      </c>
      <c r="B178" s="103">
        <v>0</v>
      </c>
      <c r="C178" s="103">
        <v>4000</v>
      </c>
      <c r="D178" s="116">
        <v>4000</v>
      </c>
      <c r="E178" s="82"/>
      <c r="F178" s="68"/>
      <c r="G178" s="69"/>
      <c r="H178" s="69"/>
      <c r="I178" s="95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</row>
    <row r="179" spans="1:24" ht="14.25" customHeight="1">
      <c r="A179" s="214" t="s">
        <v>563</v>
      </c>
      <c r="B179" s="103">
        <v>27755.27</v>
      </c>
      <c r="C179" s="103">
        <v>79383.69</v>
      </c>
      <c r="D179" s="116">
        <v>55510.539999999994</v>
      </c>
      <c r="E179" s="82" t="s">
        <v>609</v>
      </c>
      <c r="F179" s="68"/>
      <c r="G179" s="69"/>
      <c r="H179" s="69"/>
      <c r="I179" s="95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</row>
    <row r="180" spans="1:24" ht="14.25" customHeight="1">
      <c r="A180" s="214" t="s">
        <v>564</v>
      </c>
      <c r="B180" s="103">
        <v>88936.88</v>
      </c>
      <c r="C180" s="103">
        <v>191801.16</v>
      </c>
      <c r="D180" s="116">
        <v>177873.76</v>
      </c>
      <c r="E180" s="82" t="s">
        <v>609</v>
      </c>
      <c r="F180" s="68"/>
      <c r="G180" s="69"/>
      <c r="H180" s="69"/>
      <c r="I180" s="95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</row>
    <row r="181" spans="1:24" ht="14.25" customHeight="1">
      <c r="A181" s="214" t="s">
        <v>565</v>
      </c>
      <c r="B181" s="103">
        <v>27781.82</v>
      </c>
      <c r="C181" s="103">
        <v>61624.480000000003</v>
      </c>
      <c r="D181" s="116">
        <v>55563.64</v>
      </c>
      <c r="E181" s="82" t="s">
        <v>609</v>
      </c>
      <c r="F181" s="68"/>
      <c r="G181" s="69"/>
      <c r="H181" s="69"/>
      <c r="I181" s="95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</row>
    <row r="182" spans="1:24" ht="14.25" customHeight="1">
      <c r="A182" s="214" t="s">
        <v>566</v>
      </c>
      <c r="B182" s="103">
        <v>87.2</v>
      </c>
      <c r="C182" s="103">
        <v>1200</v>
      </c>
      <c r="D182" s="123">
        <v>1200</v>
      </c>
      <c r="E182" s="82"/>
      <c r="F182" s="68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</row>
    <row r="183" spans="1:24" ht="14.25" customHeight="1">
      <c r="A183" s="214" t="s">
        <v>572</v>
      </c>
      <c r="B183" s="103">
        <v>1598.69</v>
      </c>
      <c r="C183" s="103">
        <v>6200</v>
      </c>
      <c r="D183" s="116">
        <v>6200</v>
      </c>
      <c r="E183" s="82"/>
      <c r="F183" s="68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</row>
    <row r="184" spans="1:24" ht="14.25" customHeight="1">
      <c r="A184" s="79" t="s">
        <v>461</v>
      </c>
      <c r="B184" s="117">
        <f t="shared" ref="B184:C184" si="18">SUM(B177:B183)</f>
        <v>536661.85999999987</v>
      </c>
      <c r="C184" s="117">
        <f t="shared" si="18"/>
        <v>1190124.2</v>
      </c>
      <c r="D184" s="117">
        <f>SUM(D177:D183)</f>
        <v>1081351.94</v>
      </c>
      <c r="E184" s="69"/>
      <c r="F184" s="68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</row>
    <row r="185" spans="1:24" ht="14.25" customHeight="1">
      <c r="A185" s="233" t="s">
        <v>396</v>
      </c>
      <c r="B185" s="234"/>
      <c r="C185" s="235"/>
      <c r="D185" s="112"/>
      <c r="E185" s="69"/>
      <c r="F185" s="68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</row>
    <row r="186" spans="1:24" ht="14.25" customHeight="1">
      <c r="A186" s="79" t="s">
        <v>462</v>
      </c>
      <c r="B186" s="71" t="s">
        <v>403</v>
      </c>
      <c r="C186" s="71" t="s">
        <v>403</v>
      </c>
      <c r="D186" s="112"/>
      <c r="E186" s="69"/>
      <c r="F186" s="68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</row>
    <row r="187" spans="1:24" ht="14.25" customHeight="1">
      <c r="A187" s="214" t="s">
        <v>558</v>
      </c>
      <c r="B187" s="102">
        <v>74210.240000000005</v>
      </c>
      <c r="C187" s="102">
        <v>121799.39</v>
      </c>
      <c r="D187" s="118">
        <v>148420.48000000001</v>
      </c>
      <c r="E187" s="82" t="s">
        <v>609</v>
      </c>
      <c r="F187" s="68"/>
      <c r="G187" s="69"/>
      <c r="H187" s="69"/>
      <c r="I187" s="95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</row>
    <row r="188" spans="1:24" ht="14.25" customHeight="1">
      <c r="A188" s="214" t="s">
        <v>563</v>
      </c>
      <c r="B188" s="103">
        <v>12826.52</v>
      </c>
      <c r="C188" s="103">
        <v>12349.32</v>
      </c>
      <c r="D188" s="116">
        <v>25653.040000000001</v>
      </c>
      <c r="E188" s="82" t="s">
        <v>609</v>
      </c>
      <c r="F188" s="68"/>
      <c r="G188" s="69"/>
      <c r="H188" s="69"/>
      <c r="I188" s="95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</row>
    <row r="189" spans="1:24" ht="14.25" customHeight="1">
      <c r="A189" s="214" t="s">
        <v>564</v>
      </c>
      <c r="B189" s="103">
        <v>19228.3</v>
      </c>
      <c r="C189" s="103">
        <v>29000</v>
      </c>
      <c r="D189" s="116">
        <v>38456.6</v>
      </c>
      <c r="E189" s="82" t="s">
        <v>609</v>
      </c>
      <c r="F189" s="68"/>
      <c r="G189" s="69"/>
      <c r="H189" s="69"/>
      <c r="I189" s="95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</row>
    <row r="190" spans="1:24" ht="14.25" customHeight="1">
      <c r="A190" s="214" t="s">
        <v>565</v>
      </c>
      <c r="B190" s="103">
        <v>6054.79</v>
      </c>
      <c r="C190" s="103">
        <v>9317.65</v>
      </c>
      <c r="D190" s="116">
        <v>12109.58</v>
      </c>
      <c r="E190" s="82" t="s">
        <v>609</v>
      </c>
      <c r="F190" s="68"/>
      <c r="G190" s="69"/>
      <c r="H190" s="69"/>
      <c r="I190" s="95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</row>
    <row r="191" spans="1:24" ht="14.25" customHeight="1">
      <c r="A191" s="214" t="s">
        <v>566</v>
      </c>
      <c r="B191" s="103">
        <v>2.0099999999999998</v>
      </c>
      <c r="C191" s="103">
        <v>300</v>
      </c>
      <c r="D191" s="123">
        <v>300</v>
      </c>
      <c r="E191" s="82"/>
      <c r="F191" s="68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</row>
    <row r="192" spans="1:24" ht="14.25" customHeight="1">
      <c r="A192" s="214" t="s">
        <v>580</v>
      </c>
      <c r="B192" s="103">
        <v>1833.75</v>
      </c>
      <c r="C192" s="103">
        <v>0</v>
      </c>
      <c r="D192" s="116">
        <v>3000</v>
      </c>
      <c r="E192" s="82" t="s">
        <v>610</v>
      </c>
      <c r="F192" s="68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</row>
    <row r="193" spans="1:24" ht="14.25" customHeight="1">
      <c r="A193" s="214" t="s">
        <v>572</v>
      </c>
      <c r="B193" s="103">
        <v>9145.42</v>
      </c>
      <c r="C193" s="103">
        <v>10000</v>
      </c>
      <c r="D193" s="116">
        <v>18000</v>
      </c>
      <c r="E193" s="82" t="s">
        <v>609</v>
      </c>
      <c r="F193" s="68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</row>
    <row r="194" spans="1:24" ht="14.25" customHeight="1">
      <c r="A194" s="79" t="s">
        <v>463</v>
      </c>
      <c r="B194" s="117">
        <f t="shared" ref="B194:C194" si="19">SUM(B187:B193)</f>
        <v>123301.03</v>
      </c>
      <c r="C194" s="117">
        <f t="shared" si="19"/>
        <v>182766.36</v>
      </c>
      <c r="D194" s="117">
        <f>SUM(D187:D193)</f>
        <v>245939.7</v>
      </c>
      <c r="E194" s="69"/>
      <c r="F194" s="68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</row>
    <row r="195" spans="1:24" ht="14.25" customHeight="1">
      <c r="A195" s="233" t="s">
        <v>396</v>
      </c>
      <c r="B195" s="234"/>
      <c r="C195" s="235"/>
      <c r="D195" s="112"/>
      <c r="E195" s="69"/>
      <c r="F195" s="68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</row>
    <row r="196" spans="1:24" ht="14.25" customHeight="1">
      <c r="A196" s="79" t="s">
        <v>464</v>
      </c>
      <c r="B196" s="71" t="s">
        <v>403</v>
      </c>
      <c r="C196" s="71" t="s">
        <v>403</v>
      </c>
      <c r="D196" s="112"/>
      <c r="E196" s="69"/>
      <c r="F196" s="68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</row>
    <row r="197" spans="1:24" ht="14.25" customHeight="1">
      <c r="A197" s="214" t="s">
        <v>558</v>
      </c>
      <c r="B197" s="102">
        <v>54020.18</v>
      </c>
      <c r="C197" s="102">
        <v>162385.17000000001</v>
      </c>
      <c r="D197" s="118">
        <v>108040.35999999999</v>
      </c>
      <c r="E197" s="82" t="s">
        <v>609</v>
      </c>
      <c r="F197" s="68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</row>
    <row r="198" spans="1:24" ht="14.25" customHeight="1">
      <c r="A198" s="214" t="s">
        <v>563</v>
      </c>
      <c r="B198" s="103">
        <v>2500</v>
      </c>
      <c r="C198" s="103">
        <v>9815.66</v>
      </c>
      <c r="D198" s="116">
        <v>5000</v>
      </c>
      <c r="E198" s="82" t="s">
        <v>609</v>
      </c>
      <c r="F198" s="68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</row>
    <row r="199" spans="1:24" ht="14.25" customHeight="1">
      <c r="A199" s="214" t="s">
        <v>564</v>
      </c>
      <c r="B199" s="103">
        <v>12790.72</v>
      </c>
      <c r="C199" s="103">
        <v>38663.910000000003</v>
      </c>
      <c r="D199" s="116">
        <v>25581.439999999995</v>
      </c>
      <c r="E199" s="82" t="s">
        <v>609</v>
      </c>
      <c r="F199" s="68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</row>
    <row r="200" spans="1:24" ht="14.25" customHeight="1">
      <c r="A200" s="214" t="s">
        <v>565</v>
      </c>
      <c r="B200" s="103">
        <v>3742.54</v>
      </c>
      <c r="C200" s="103">
        <v>12422.47</v>
      </c>
      <c r="D200" s="116">
        <v>7485.08</v>
      </c>
      <c r="E200" s="82" t="s">
        <v>609</v>
      </c>
      <c r="F200" s="68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</row>
    <row r="201" spans="1:24" ht="14.25" customHeight="1">
      <c r="A201" s="214" t="s">
        <v>566</v>
      </c>
      <c r="B201" s="103">
        <v>0</v>
      </c>
      <c r="C201" s="103">
        <v>324</v>
      </c>
      <c r="D201" s="123">
        <v>324</v>
      </c>
      <c r="E201" s="220"/>
      <c r="F201" s="68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</row>
    <row r="202" spans="1:24" ht="14.25" customHeight="1">
      <c r="A202" s="214" t="s">
        <v>568</v>
      </c>
      <c r="B202" s="103">
        <v>2250</v>
      </c>
      <c r="C202" s="103">
        <v>5200</v>
      </c>
      <c r="D202" s="116">
        <v>5200</v>
      </c>
      <c r="E202" s="220"/>
      <c r="F202" s="68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</row>
    <row r="203" spans="1:24" ht="14.25" customHeight="1">
      <c r="A203" s="214" t="s">
        <v>572</v>
      </c>
      <c r="B203" s="103">
        <v>2002.14</v>
      </c>
      <c r="C203" s="103">
        <v>8000</v>
      </c>
      <c r="D203" s="116">
        <v>8000</v>
      </c>
      <c r="E203" s="220"/>
      <c r="F203" s="68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</row>
    <row r="204" spans="1:24" ht="14.25" customHeight="1">
      <c r="A204" s="214" t="s">
        <v>582</v>
      </c>
      <c r="B204" s="103">
        <v>8693.34</v>
      </c>
      <c r="C204" s="103">
        <v>23850</v>
      </c>
      <c r="D204" s="116">
        <v>23850</v>
      </c>
      <c r="E204" s="220"/>
      <c r="F204" s="68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</row>
    <row r="205" spans="1:24" ht="14.25" customHeight="1">
      <c r="A205" s="79" t="s">
        <v>465</v>
      </c>
      <c r="B205" s="117">
        <f t="shared" ref="B205:C205" si="20">SUM(B197:B204)</f>
        <v>85998.919999999984</v>
      </c>
      <c r="C205" s="117">
        <f t="shared" si="20"/>
        <v>260661.21000000002</v>
      </c>
      <c r="D205" s="117">
        <f>SUM(D197:D204)</f>
        <v>183480.87999999998</v>
      </c>
      <c r="E205" s="69"/>
      <c r="F205" s="68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</row>
    <row r="206" spans="1:24" ht="14.25" customHeight="1">
      <c r="A206" s="233" t="s">
        <v>396</v>
      </c>
      <c r="B206" s="234"/>
      <c r="C206" s="235"/>
      <c r="D206" s="112"/>
      <c r="E206" s="69"/>
      <c r="F206" s="68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</row>
    <row r="207" spans="1:24" ht="14.25" customHeight="1">
      <c r="A207" s="79" t="s">
        <v>466</v>
      </c>
      <c r="B207" s="71" t="s">
        <v>403</v>
      </c>
      <c r="C207" s="71" t="s">
        <v>403</v>
      </c>
      <c r="D207" s="112"/>
      <c r="E207" s="69"/>
      <c r="F207" s="68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</row>
    <row r="208" spans="1:24" ht="14.25" customHeight="1">
      <c r="A208" s="214" t="s">
        <v>579</v>
      </c>
      <c r="B208" s="102">
        <v>22744.99</v>
      </c>
      <c r="C208" s="102">
        <v>135000</v>
      </c>
      <c r="D208" s="118">
        <v>135000</v>
      </c>
      <c r="E208" s="82"/>
      <c r="F208" s="68"/>
      <c r="G208" s="69"/>
      <c r="H208" s="69"/>
      <c r="I208" s="101"/>
      <c r="J208" s="101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</row>
    <row r="209" spans="1:24" ht="14.25" customHeight="1">
      <c r="A209" s="214" t="s">
        <v>569</v>
      </c>
      <c r="B209" s="103">
        <v>15713.6</v>
      </c>
      <c r="C209" s="103">
        <v>0</v>
      </c>
      <c r="D209" s="213">
        <v>20000</v>
      </c>
      <c r="E209" s="99" t="s">
        <v>618</v>
      </c>
      <c r="F209" s="100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</row>
    <row r="210" spans="1:24" ht="14.25" customHeight="1">
      <c r="A210" s="214" t="s">
        <v>572</v>
      </c>
      <c r="B210" s="103">
        <v>638.04</v>
      </c>
      <c r="C210" s="103">
        <v>0</v>
      </c>
      <c r="D210" s="213">
        <v>1000</v>
      </c>
      <c r="E210" s="99" t="s">
        <v>619</v>
      </c>
      <c r="F210" s="100"/>
      <c r="G210" s="101"/>
      <c r="H210" s="101"/>
      <c r="I210" s="69"/>
      <c r="J210" s="69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</row>
    <row r="211" spans="1:24" ht="14.25" customHeight="1">
      <c r="A211" s="79" t="s">
        <v>467</v>
      </c>
      <c r="B211" s="117">
        <f t="shared" ref="B211:C211" si="21">SUM(B208:B210)</f>
        <v>39096.630000000005</v>
      </c>
      <c r="C211" s="117">
        <f t="shared" si="21"/>
        <v>135000</v>
      </c>
      <c r="D211" s="117">
        <f>SUM(D208:D210)</f>
        <v>156000</v>
      </c>
      <c r="E211" s="69"/>
      <c r="F211" s="68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</row>
    <row r="212" spans="1:24" ht="14.25" customHeight="1">
      <c r="A212" s="233" t="s">
        <v>396</v>
      </c>
      <c r="B212" s="234"/>
      <c r="C212" s="235"/>
      <c r="D212" s="112"/>
      <c r="E212" s="69"/>
      <c r="F212" s="68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</row>
    <row r="213" spans="1:24" ht="14.25" customHeight="1">
      <c r="A213" s="79" t="s">
        <v>468</v>
      </c>
      <c r="B213" s="71" t="s">
        <v>403</v>
      </c>
      <c r="C213" s="71" t="s">
        <v>403</v>
      </c>
      <c r="D213" s="112"/>
      <c r="E213" s="69"/>
      <c r="F213" s="68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</row>
    <row r="214" spans="1:24" ht="14.25" customHeight="1">
      <c r="A214" s="214" t="s">
        <v>583</v>
      </c>
      <c r="B214" s="102">
        <v>19450</v>
      </c>
      <c r="C214" s="102">
        <v>28224</v>
      </c>
      <c r="D214" s="102">
        <v>28224</v>
      </c>
      <c r="E214" s="221"/>
      <c r="F214" s="102"/>
      <c r="G214" s="102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</row>
    <row r="215" spans="1:24" ht="14.25" customHeight="1">
      <c r="A215" s="214" t="s">
        <v>584</v>
      </c>
      <c r="B215" s="103">
        <v>46893.75</v>
      </c>
      <c r="C215" s="103">
        <v>20000</v>
      </c>
      <c r="D215" s="116">
        <v>90000</v>
      </c>
      <c r="E215" s="82" t="s">
        <v>609</v>
      </c>
      <c r="F215" s="103"/>
      <c r="G215" s="103"/>
      <c r="H215" s="69"/>
      <c r="I215" s="101"/>
      <c r="J215" s="101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</row>
    <row r="216" spans="1:24" ht="14.25" customHeight="1">
      <c r="A216" s="214" t="s">
        <v>572</v>
      </c>
      <c r="B216" s="103">
        <v>1316.4</v>
      </c>
      <c r="C216" s="103">
        <v>0</v>
      </c>
      <c r="D216" s="124">
        <v>2000</v>
      </c>
      <c r="E216" s="82" t="s">
        <v>620</v>
      </c>
      <c r="F216" s="103"/>
      <c r="G216" s="103"/>
      <c r="H216" s="101"/>
      <c r="I216" s="69"/>
      <c r="J216" s="69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</row>
    <row r="217" spans="1:24" ht="14.25" customHeight="1">
      <c r="A217" s="214" t="s">
        <v>537</v>
      </c>
      <c r="B217" s="103">
        <v>11362</v>
      </c>
      <c r="C217" s="103">
        <v>16537.5</v>
      </c>
      <c r="D217" s="116">
        <v>22000</v>
      </c>
      <c r="E217" s="82" t="s">
        <v>609</v>
      </c>
      <c r="F217" s="103"/>
      <c r="G217" s="103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</row>
    <row r="218" spans="1:24" ht="14.25" customHeight="1">
      <c r="A218" s="79" t="s">
        <v>469</v>
      </c>
      <c r="B218" s="117">
        <f t="shared" ref="B218:C218" si="22">SUM(B214:B217)</f>
        <v>79022.149999999994</v>
      </c>
      <c r="C218" s="117">
        <f t="shared" si="22"/>
        <v>64761.5</v>
      </c>
      <c r="D218" s="117">
        <f>SUM(D214:D217)</f>
        <v>142224</v>
      </c>
      <c r="E218" s="214"/>
      <c r="F218" s="103"/>
      <c r="G218" s="103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</row>
    <row r="219" spans="1:24" ht="14.25" customHeight="1">
      <c r="A219" s="79"/>
      <c r="B219" s="85"/>
      <c r="C219" s="85"/>
      <c r="D219" s="119"/>
      <c r="E219" s="69"/>
      <c r="F219" s="68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</row>
    <row r="220" spans="1:24" ht="14.25" customHeight="1">
      <c r="A220" s="79" t="s">
        <v>470</v>
      </c>
      <c r="B220" s="71" t="s">
        <v>403</v>
      </c>
      <c r="C220" s="71" t="s">
        <v>403</v>
      </c>
      <c r="D220" s="112"/>
      <c r="E220" s="69"/>
      <c r="F220" s="68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</row>
    <row r="221" spans="1:24" ht="14.25" customHeight="1">
      <c r="A221" s="71" t="s">
        <v>558</v>
      </c>
      <c r="B221" s="83">
        <v>0</v>
      </c>
      <c r="C221" s="83">
        <v>130000</v>
      </c>
      <c r="D221" s="118">
        <v>130000</v>
      </c>
      <c r="E221" s="82"/>
      <c r="F221" s="68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</row>
    <row r="222" spans="1:24" ht="14.25" customHeight="1">
      <c r="A222" s="71" t="s">
        <v>565</v>
      </c>
      <c r="B222" s="83">
        <v>0</v>
      </c>
      <c r="C222" s="83">
        <v>9945</v>
      </c>
      <c r="D222" s="116">
        <v>9945</v>
      </c>
      <c r="E222" s="82"/>
      <c r="F222" s="68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</row>
    <row r="223" spans="1:24" ht="14.25" customHeight="1">
      <c r="A223" s="79" t="s">
        <v>471</v>
      </c>
      <c r="B223" s="117">
        <f t="shared" ref="B223:C223" si="23">SUM(B221:B222)</f>
        <v>0</v>
      </c>
      <c r="C223" s="117">
        <f t="shared" si="23"/>
        <v>139945</v>
      </c>
      <c r="D223" s="117">
        <f>SUM(D221:D222)</f>
        <v>139945</v>
      </c>
      <c r="E223" s="69"/>
      <c r="F223" s="68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</row>
    <row r="224" spans="1:24" ht="14.25" customHeight="1">
      <c r="A224" s="233" t="s">
        <v>396</v>
      </c>
      <c r="B224" s="234"/>
      <c r="C224" s="235"/>
      <c r="D224" s="112"/>
      <c r="E224" s="69"/>
      <c r="F224" s="68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</row>
    <row r="225" spans="1:24" ht="14.25" customHeight="1">
      <c r="A225" s="79" t="s">
        <v>472</v>
      </c>
      <c r="B225" s="71" t="s">
        <v>403</v>
      </c>
      <c r="C225" s="71" t="s">
        <v>403</v>
      </c>
      <c r="D225" s="112"/>
      <c r="E225" s="69"/>
      <c r="F225" s="68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</row>
    <row r="226" spans="1:24" ht="14.25" customHeight="1">
      <c r="A226" s="71" t="s">
        <v>558</v>
      </c>
      <c r="B226" s="80">
        <v>85887</v>
      </c>
      <c r="C226" s="102">
        <v>145423.41</v>
      </c>
      <c r="D226" s="118">
        <v>171774</v>
      </c>
      <c r="E226" s="82" t="s">
        <v>609</v>
      </c>
      <c r="F226" s="68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</row>
    <row r="227" spans="1:24" ht="14.25" customHeight="1">
      <c r="A227" s="71" t="s">
        <v>585</v>
      </c>
      <c r="B227" s="83">
        <v>318040.88</v>
      </c>
      <c r="C227" s="103">
        <v>622979.22</v>
      </c>
      <c r="D227" s="116">
        <v>636081.76</v>
      </c>
      <c r="E227" s="82" t="s">
        <v>609</v>
      </c>
      <c r="F227" s="68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</row>
    <row r="228" spans="1:24" ht="14.25" customHeight="1">
      <c r="A228" s="71" t="s">
        <v>559</v>
      </c>
      <c r="B228" s="83">
        <v>186349.4</v>
      </c>
      <c r="C228" s="103">
        <v>348655.24</v>
      </c>
      <c r="D228" s="116">
        <v>372698.8</v>
      </c>
      <c r="E228" s="82" t="s">
        <v>609</v>
      </c>
      <c r="F228" s="68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</row>
    <row r="229" spans="1:24" ht="14.25" customHeight="1">
      <c r="A229" s="71" t="s">
        <v>561</v>
      </c>
      <c r="B229" s="83">
        <v>0</v>
      </c>
      <c r="C229" s="103">
        <v>6000</v>
      </c>
      <c r="D229" s="116">
        <v>6000</v>
      </c>
      <c r="E229" s="82"/>
      <c r="F229" s="68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</row>
    <row r="230" spans="1:24" ht="14.25" customHeight="1">
      <c r="A230" s="71" t="s">
        <v>563</v>
      </c>
      <c r="B230" s="83">
        <v>53439.75</v>
      </c>
      <c r="C230" s="103">
        <v>121492.22</v>
      </c>
      <c r="D230" s="116">
        <v>106879.5</v>
      </c>
      <c r="E230" s="82" t="s">
        <v>609</v>
      </c>
      <c r="F230" s="68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</row>
    <row r="231" spans="1:24" ht="14.25" customHeight="1">
      <c r="A231" s="71" t="s">
        <v>564</v>
      </c>
      <c r="B231" s="83">
        <v>132112.93</v>
      </c>
      <c r="C231" s="103">
        <v>265971.48</v>
      </c>
      <c r="D231" s="116">
        <v>264225.86</v>
      </c>
      <c r="E231" s="82" t="s">
        <v>609</v>
      </c>
      <c r="F231" s="68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</row>
    <row r="232" spans="1:24" ht="14.25" customHeight="1">
      <c r="A232" s="71" t="s">
        <v>565</v>
      </c>
      <c r="B232" s="83">
        <v>41388.01</v>
      </c>
      <c r="C232" s="103">
        <v>85454.93</v>
      </c>
      <c r="D232" s="116">
        <v>82776.02</v>
      </c>
      <c r="E232" s="82" t="s">
        <v>609</v>
      </c>
      <c r="F232" s="68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</row>
    <row r="233" spans="1:24" ht="14.25" customHeight="1">
      <c r="A233" s="71" t="s">
        <v>566</v>
      </c>
      <c r="B233" s="83">
        <v>0</v>
      </c>
      <c r="C233" s="103">
        <v>2000</v>
      </c>
      <c r="D233" s="123">
        <v>2000</v>
      </c>
      <c r="E233" s="82"/>
      <c r="F233" s="68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</row>
    <row r="234" spans="1:24" ht="14.25" customHeight="1">
      <c r="A234" s="71" t="s">
        <v>569</v>
      </c>
      <c r="B234" s="83">
        <v>6385.55</v>
      </c>
      <c r="C234" s="103">
        <v>5000</v>
      </c>
      <c r="D234" s="123">
        <v>13000</v>
      </c>
      <c r="E234" s="82" t="s">
        <v>609</v>
      </c>
      <c r="F234" s="68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</row>
    <row r="235" spans="1:24" ht="14.25" customHeight="1">
      <c r="A235" s="71" t="s">
        <v>586</v>
      </c>
      <c r="B235" s="83">
        <v>12546.3</v>
      </c>
      <c r="C235" s="103">
        <v>65000</v>
      </c>
      <c r="D235" s="123">
        <v>65000</v>
      </c>
      <c r="E235" s="82"/>
      <c r="F235" s="68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</row>
    <row r="236" spans="1:24" ht="14.25" customHeight="1">
      <c r="A236" s="71" t="s">
        <v>580</v>
      </c>
      <c r="B236" s="83">
        <v>13050.41</v>
      </c>
      <c r="C236" s="103">
        <v>60000</v>
      </c>
      <c r="D236" s="123">
        <v>60000</v>
      </c>
      <c r="E236" s="82"/>
      <c r="F236" s="68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</row>
    <row r="237" spans="1:24" ht="14.25" customHeight="1">
      <c r="A237" s="71" t="s">
        <v>572</v>
      </c>
      <c r="B237" s="83">
        <v>46769.08</v>
      </c>
      <c r="C237" s="103">
        <v>90000</v>
      </c>
      <c r="D237" s="123">
        <v>90000</v>
      </c>
      <c r="E237" s="82"/>
      <c r="F237" s="68"/>
      <c r="G237" s="69"/>
      <c r="H237" s="69"/>
      <c r="I237" s="101"/>
      <c r="J237" s="101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</row>
    <row r="238" spans="1:24" ht="14.25" customHeight="1">
      <c r="A238" s="71" t="s">
        <v>577</v>
      </c>
      <c r="B238" s="83">
        <v>37525.78</v>
      </c>
      <c r="C238" s="103">
        <v>20000</v>
      </c>
      <c r="D238" s="123">
        <v>50000</v>
      </c>
      <c r="E238" s="82" t="s">
        <v>609</v>
      </c>
      <c r="F238" s="68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</row>
    <row r="239" spans="1:24" ht="14.25" customHeight="1">
      <c r="A239" s="71" t="s">
        <v>578</v>
      </c>
      <c r="B239" s="83">
        <v>14985.48</v>
      </c>
      <c r="C239" s="103">
        <v>7000</v>
      </c>
      <c r="D239" s="123">
        <v>7000</v>
      </c>
      <c r="E239" s="82"/>
      <c r="F239" s="68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</row>
    <row r="240" spans="1:24" ht="14.25" customHeight="1">
      <c r="A240" s="71" t="s">
        <v>537</v>
      </c>
      <c r="B240" s="83">
        <v>2389</v>
      </c>
      <c r="C240" s="83">
        <v>5000</v>
      </c>
      <c r="D240" s="116">
        <v>5000</v>
      </c>
      <c r="E240" s="82"/>
      <c r="F240" s="68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</row>
    <row r="241" spans="1:24" ht="14.25" customHeight="1">
      <c r="A241" s="71" t="s">
        <v>587</v>
      </c>
      <c r="B241" s="83">
        <v>24469.5</v>
      </c>
      <c r="C241" s="83">
        <v>93712.5</v>
      </c>
      <c r="D241" s="116">
        <v>93712.5</v>
      </c>
      <c r="E241" s="82"/>
      <c r="F241" s="68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</row>
    <row r="242" spans="1:24" ht="14.25" customHeight="1">
      <c r="A242" s="79" t="s">
        <v>473</v>
      </c>
      <c r="B242" s="117">
        <f t="shared" ref="B242:C242" si="24">SUM(B226:B241)</f>
        <v>975339.07000000007</v>
      </c>
      <c r="C242" s="117">
        <f t="shared" si="24"/>
        <v>1943689</v>
      </c>
      <c r="D242" s="117">
        <f>SUM(D226:D241)</f>
        <v>2026148.44</v>
      </c>
      <c r="E242" s="69"/>
      <c r="F242" s="68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</row>
    <row r="243" spans="1:24" ht="14.25" customHeight="1">
      <c r="A243" s="233" t="s">
        <v>396</v>
      </c>
      <c r="B243" s="234"/>
      <c r="C243" s="235"/>
      <c r="D243" s="112"/>
      <c r="E243" s="69"/>
      <c r="F243" s="68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</row>
    <row r="244" spans="1:24" ht="14.25" customHeight="1">
      <c r="A244" s="79" t="s">
        <v>474</v>
      </c>
      <c r="B244" s="71" t="s">
        <v>403</v>
      </c>
      <c r="C244" s="71" t="s">
        <v>403</v>
      </c>
      <c r="D244" s="112"/>
      <c r="E244" s="69"/>
      <c r="F244" s="68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</row>
    <row r="245" spans="1:24" ht="14.25" customHeight="1">
      <c r="A245" s="71" t="s">
        <v>558</v>
      </c>
      <c r="B245" s="80">
        <v>32374.14</v>
      </c>
      <c r="C245" s="102">
        <v>65659.490000000005</v>
      </c>
      <c r="D245" s="118">
        <v>65625.983999999997</v>
      </c>
      <c r="E245" s="222"/>
      <c r="F245" s="68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</row>
    <row r="246" spans="1:24" ht="14.25" customHeight="1">
      <c r="A246" s="71" t="s">
        <v>561</v>
      </c>
      <c r="B246" s="83">
        <v>0</v>
      </c>
      <c r="C246" s="103">
        <v>2000</v>
      </c>
      <c r="D246" s="116">
        <v>2000</v>
      </c>
      <c r="E246" s="222"/>
      <c r="F246" s="68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</row>
    <row r="247" spans="1:24" ht="14.25" customHeight="1">
      <c r="A247" s="71" t="s">
        <v>563</v>
      </c>
      <c r="B247" s="83">
        <v>2518.3200000000002</v>
      </c>
      <c r="C247" s="103">
        <v>7435.42</v>
      </c>
      <c r="D247" s="116">
        <v>7435.415500000001</v>
      </c>
      <c r="E247" s="222"/>
      <c r="F247" s="68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</row>
    <row r="248" spans="1:24" ht="14.25" customHeight="1">
      <c r="A248" s="71" t="s">
        <v>564</v>
      </c>
      <c r="B248" s="83">
        <v>8704.41</v>
      </c>
      <c r="C248" s="103">
        <v>15633.53</v>
      </c>
      <c r="D248" s="116">
        <v>15625.5467904</v>
      </c>
      <c r="E248" s="222"/>
      <c r="F248" s="68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</row>
    <row r="249" spans="1:24" ht="14.25" customHeight="1">
      <c r="A249" s="71" t="s">
        <v>565</v>
      </c>
      <c r="B249" s="83">
        <v>2743.78</v>
      </c>
      <c r="C249" s="103">
        <v>5022.95</v>
      </c>
      <c r="D249" s="116">
        <v>5020.3877759999996</v>
      </c>
      <c r="E249" s="222"/>
      <c r="F249" s="68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</row>
    <row r="250" spans="1:24" ht="14.25" customHeight="1">
      <c r="A250" s="71" t="s">
        <v>566</v>
      </c>
      <c r="B250" s="83">
        <v>0</v>
      </c>
      <c r="C250" s="103">
        <v>130</v>
      </c>
      <c r="D250" s="123">
        <v>130</v>
      </c>
      <c r="E250" s="222"/>
      <c r="F250" s="68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</row>
    <row r="251" spans="1:24" ht="14.25" customHeight="1">
      <c r="A251" s="71" t="s">
        <v>588</v>
      </c>
      <c r="B251" s="83">
        <v>89840.09</v>
      </c>
      <c r="C251" s="103">
        <v>159700</v>
      </c>
      <c r="D251" s="116">
        <v>180000</v>
      </c>
      <c r="E251" s="82" t="s">
        <v>609</v>
      </c>
      <c r="F251" s="68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</row>
    <row r="252" spans="1:24" ht="14.25" customHeight="1">
      <c r="A252" s="71" t="s">
        <v>589</v>
      </c>
      <c r="B252" s="83">
        <v>12554.64</v>
      </c>
      <c r="C252" s="103">
        <v>20000</v>
      </c>
      <c r="D252" s="116">
        <v>25000</v>
      </c>
      <c r="E252" s="82" t="s">
        <v>609</v>
      </c>
      <c r="F252" s="68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</row>
    <row r="253" spans="1:24" ht="14.25" customHeight="1">
      <c r="A253" s="79" t="s">
        <v>475</v>
      </c>
      <c r="B253" s="117">
        <f t="shared" ref="B253:C253" si="25">SUM(B245:B252)</f>
        <v>148735.38</v>
      </c>
      <c r="C253" s="117">
        <f t="shared" si="25"/>
        <v>275581.39</v>
      </c>
      <c r="D253" s="117">
        <f>SUM(D245:D252)</f>
        <v>300837.33406640001</v>
      </c>
      <c r="E253" s="69"/>
      <c r="F253" s="68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</row>
    <row r="254" spans="1:24" ht="14.25" customHeight="1">
      <c r="A254" s="233" t="s">
        <v>396</v>
      </c>
      <c r="B254" s="234"/>
      <c r="C254" s="235"/>
      <c r="D254" s="112"/>
      <c r="E254" s="69"/>
      <c r="F254" s="68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</row>
    <row r="255" spans="1:24" ht="14.25" customHeight="1">
      <c r="A255" s="79" t="s">
        <v>476</v>
      </c>
      <c r="B255" s="71" t="s">
        <v>403</v>
      </c>
      <c r="C255" s="71" t="s">
        <v>403</v>
      </c>
      <c r="D255" s="112"/>
      <c r="E255" s="69"/>
      <c r="F255" s="68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</row>
    <row r="256" spans="1:24" ht="14.25" customHeight="1">
      <c r="A256" s="71" t="s">
        <v>558</v>
      </c>
      <c r="B256" s="80">
        <v>192739.06</v>
      </c>
      <c r="C256" s="102">
        <v>371020.04</v>
      </c>
      <c r="D256" s="118">
        <v>385478.12</v>
      </c>
      <c r="E256" s="82" t="s">
        <v>609</v>
      </c>
      <c r="F256" s="68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</row>
    <row r="257" spans="1:24" ht="14.25" customHeight="1">
      <c r="A257" s="71" t="s">
        <v>561</v>
      </c>
      <c r="B257" s="83">
        <v>0</v>
      </c>
      <c r="C257" s="103">
        <v>15000</v>
      </c>
      <c r="D257" s="116">
        <v>15000</v>
      </c>
      <c r="E257" s="82"/>
      <c r="F257" s="68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</row>
    <row r="258" spans="1:24" ht="14.25" customHeight="1">
      <c r="A258" s="71" t="s">
        <v>563</v>
      </c>
      <c r="B258" s="83">
        <v>23396.78</v>
      </c>
      <c r="C258" s="103">
        <v>39191.71</v>
      </c>
      <c r="D258" s="116">
        <v>46793.56</v>
      </c>
      <c r="E258" s="82" t="s">
        <v>609</v>
      </c>
      <c r="F258" s="68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</row>
    <row r="259" spans="1:24" ht="14.25" customHeight="1">
      <c r="A259" s="71" t="s">
        <v>564</v>
      </c>
      <c r="B259" s="83">
        <v>45215.83</v>
      </c>
      <c r="C259" s="103">
        <v>88339.87</v>
      </c>
      <c r="D259" s="116">
        <v>90431.66</v>
      </c>
      <c r="E259" s="82" t="s">
        <v>609</v>
      </c>
      <c r="F259" s="68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</row>
    <row r="260" spans="1:24" ht="14.25" customHeight="1">
      <c r="A260" s="71" t="s">
        <v>565</v>
      </c>
      <c r="B260" s="83">
        <v>13968.05</v>
      </c>
      <c r="C260" s="103">
        <v>28383.03</v>
      </c>
      <c r="D260" s="116">
        <v>27936.1</v>
      </c>
      <c r="E260" s="82" t="s">
        <v>609</v>
      </c>
      <c r="F260" s="68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</row>
    <row r="261" spans="1:24" ht="14.25" customHeight="1">
      <c r="A261" s="71" t="s">
        <v>566</v>
      </c>
      <c r="B261" s="83">
        <v>68.63</v>
      </c>
      <c r="C261" s="103">
        <v>850</v>
      </c>
      <c r="D261" s="123">
        <v>850</v>
      </c>
      <c r="E261" s="82"/>
      <c r="F261" s="68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</row>
    <row r="262" spans="1:24" ht="14.25" customHeight="1">
      <c r="A262" s="71" t="s">
        <v>590</v>
      </c>
      <c r="B262" s="83">
        <v>120272.07</v>
      </c>
      <c r="C262" s="103">
        <v>120000</v>
      </c>
      <c r="D262" s="116">
        <v>179000</v>
      </c>
      <c r="E262" s="82" t="s">
        <v>609</v>
      </c>
      <c r="F262" s="68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</row>
    <row r="263" spans="1:24" ht="14.25" customHeight="1">
      <c r="A263" s="71" t="s">
        <v>591</v>
      </c>
      <c r="B263" s="83">
        <v>96065.39</v>
      </c>
      <c r="C263" s="103">
        <v>144000</v>
      </c>
      <c r="D263" s="116">
        <v>170000</v>
      </c>
      <c r="E263" s="82" t="s">
        <v>609</v>
      </c>
      <c r="F263" s="68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</row>
    <row r="264" spans="1:24" ht="14.25" customHeight="1">
      <c r="A264" s="71" t="s">
        <v>592</v>
      </c>
      <c r="B264" s="83">
        <v>255362.81</v>
      </c>
      <c r="C264" s="103">
        <v>560625</v>
      </c>
      <c r="D264" s="116">
        <v>560625</v>
      </c>
      <c r="E264" s="82"/>
      <c r="F264" s="68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</row>
    <row r="265" spans="1:24" ht="14.25" customHeight="1">
      <c r="A265" s="71" t="s">
        <v>593</v>
      </c>
      <c r="B265" s="83">
        <v>215810.71</v>
      </c>
      <c r="C265" s="103">
        <v>300000</v>
      </c>
      <c r="D265" s="116">
        <f>((B265-Sheet1!A14)/6)*12+Sheet1!A14</f>
        <v>318588.64</v>
      </c>
      <c r="E265" s="82" t="s">
        <v>609</v>
      </c>
      <c r="F265" s="68"/>
      <c r="G265" s="69"/>
      <c r="H265" s="69"/>
      <c r="I265" s="101"/>
      <c r="J265" s="101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</row>
    <row r="266" spans="1:24" ht="14.25" customHeight="1">
      <c r="A266" s="71" t="s">
        <v>580</v>
      </c>
      <c r="B266" s="83">
        <v>3037.5</v>
      </c>
      <c r="C266" s="83">
        <v>5000</v>
      </c>
      <c r="D266" s="116">
        <v>6000</v>
      </c>
      <c r="E266" s="82" t="s">
        <v>609</v>
      </c>
      <c r="F266" s="68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</row>
    <row r="267" spans="1:24" ht="14.25" customHeight="1">
      <c r="A267" s="71" t="s">
        <v>572</v>
      </c>
      <c r="B267" s="83">
        <v>22259.45</v>
      </c>
      <c r="C267" s="83">
        <v>88718</v>
      </c>
      <c r="D267" s="116">
        <v>88718</v>
      </c>
      <c r="E267" s="82"/>
      <c r="F267" s="68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</row>
    <row r="268" spans="1:24" ht="14.25" customHeight="1">
      <c r="A268" s="71" t="s">
        <v>594</v>
      </c>
      <c r="B268" s="83">
        <v>257551.08</v>
      </c>
      <c r="C268" s="83">
        <v>480000</v>
      </c>
      <c r="D268" s="116">
        <v>480000</v>
      </c>
      <c r="E268" s="82" t="s">
        <v>622</v>
      </c>
      <c r="F268" s="68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</row>
    <row r="269" spans="1:24" ht="14.25" customHeight="1">
      <c r="A269" s="71" t="s">
        <v>595</v>
      </c>
      <c r="B269" s="83">
        <v>0</v>
      </c>
      <c r="C269" s="83">
        <v>46000</v>
      </c>
      <c r="D269" s="116">
        <v>46000</v>
      </c>
      <c r="E269" s="82" t="s">
        <v>609</v>
      </c>
      <c r="F269" s="68"/>
      <c r="G269" s="69"/>
      <c r="H269" s="69"/>
      <c r="I269" s="101"/>
      <c r="J269" s="101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</row>
    <row r="270" spans="1:24" ht="14.25" customHeight="1">
      <c r="A270" s="97" t="s">
        <v>577</v>
      </c>
      <c r="B270" s="98">
        <v>1984694.92</v>
      </c>
      <c r="C270" s="98">
        <v>0</v>
      </c>
      <c r="D270" s="124">
        <v>2053497.66</v>
      </c>
      <c r="E270" s="82" t="s">
        <v>611</v>
      </c>
      <c r="F270" s="100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</row>
    <row r="271" spans="1:24" ht="14.25" customHeight="1">
      <c r="A271" s="97" t="s">
        <v>578</v>
      </c>
      <c r="B271" s="98">
        <v>103902.9</v>
      </c>
      <c r="C271" s="98">
        <v>0</v>
      </c>
      <c r="D271" s="124">
        <v>229060</v>
      </c>
      <c r="E271" s="82" t="s">
        <v>611</v>
      </c>
      <c r="F271" s="100"/>
      <c r="G271" s="101"/>
      <c r="H271" s="101"/>
      <c r="I271" s="69"/>
      <c r="J271" s="69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</row>
    <row r="272" spans="1:24" ht="14.25" customHeight="1">
      <c r="A272" s="79" t="s">
        <v>477</v>
      </c>
      <c r="B272" s="117">
        <f t="shared" ref="B272:C272" si="26">SUM(B256:B271)</f>
        <v>3334345.1799999997</v>
      </c>
      <c r="C272" s="117">
        <f t="shared" si="26"/>
        <v>2287127.65</v>
      </c>
      <c r="D272" s="117">
        <f>SUM(D256:D271)</f>
        <v>4697978.74</v>
      </c>
      <c r="E272" s="69"/>
      <c r="F272" s="68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</row>
    <row r="273" spans="1:24" ht="14.25" customHeight="1">
      <c r="A273" s="233" t="s">
        <v>396</v>
      </c>
      <c r="B273" s="234"/>
      <c r="C273" s="235"/>
      <c r="D273" s="112"/>
      <c r="E273" s="69"/>
      <c r="F273" s="68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</row>
    <row r="274" spans="1:24" ht="14.25" customHeight="1">
      <c r="A274" s="79" t="s">
        <v>478</v>
      </c>
      <c r="B274" s="71" t="s">
        <v>403</v>
      </c>
      <c r="C274" s="71" t="s">
        <v>403</v>
      </c>
      <c r="D274" s="112"/>
      <c r="E274" s="69"/>
      <c r="F274" s="68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</row>
    <row r="275" spans="1:24" ht="14.25" customHeight="1">
      <c r="A275" s="214" t="s">
        <v>593</v>
      </c>
      <c r="B275" s="103">
        <v>18205.310000000001</v>
      </c>
      <c r="C275" s="103">
        <v>70000</v>
      </c>
      <c r="D275" s="118">
        <v>70000</v>
      </c>
      <c r="E275" s="82"/>
      <c r="F275" s="68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</row>
    <row r="276" spans="1:24" ht="14.25" customHeight="1">
      <c r="A276" s="214" t="s">
        <v>581</v>
      </c>
      <c r="B276" s="103">
        <v>5548.97</v>
      </c>
      <c r="C276" s="103">
        <v>550000</v>
      </c>
      <c r="D276" s="116">
        <v>550000</v>
      </c>
      <c r="F276" s="68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</row>
    <row r="277" spans="1:24" ht="14.25" customHeight="1">
      <c r="A277" s="79" t="s">
        <v>479</v>
      </c>
      <c r="B277" s="117">
        <f t="shared" ref="B277:C277" si="27">SUM(B275:B276)</f>
        <v>23754.280000000002</v>
      </c>
      <c r="C277" s="117">
        <f t="shared" si="27"/>
        <v>620000</v>
      </c>
      <c r="D277" s="117">
        <f>SUM(D275:D276)</f>
        <v>620000</v>
      </c>
      <c r="E277" s="69"/>
      <c r="F277" s="68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</row>
    <row r="278" spans="1:24" ht="14.25" customHeight="1">
      <c r="A278" s="233" t="s">
        <v>396</v>
      </c>
      <c r="B278" s="234"/>
      <c r="C278" s="235"/>
      <c r="D278" s="112"/>
      <c r="E278" s="69"/>
      <c r="F278" s="68"/>
      <c r="G278" s="69"/>
      <c r="H278" s="69"/>
      <c r="I278" s="69"/>
      <c r="J278" s="69"/>
      <c r="K278" s="69"/>
      <c r="L278" s="107"/>
      <c r="M278" s="69"/>
      <c r="N278" s="107"/>
      <c r="O278" s="69"/>
      <c r="P278" s="69"/>
      <c r="Q278" s="69"/>
      <c r="R278" s="69"/>
      <c r="S278" s="69"/>
      <c r="T278" s="69"/>
      <c r="U278" s="69"/>
      <c r="V278" s="69"/>
      <c r="W278" s="69"/>
      <c r="X278" s="69"/>
    </row>
    <row r="279" spans="1:24" ht="14.25" customHeight="1">
      <c r="A279" s="79" t="s">
        <v>480</v>
      </c>
      <c r="B279" s="71" t="s">
        <v>403</v>
      </c>
      <c r="C279" s="71" t="s">
        <v>403</v>
      </c>
      <c r="D279" s="112"/>
      <c r="E279" s="69"/>
      <c r="F279" s="68"/>
      <c r="G279" s="69"/>
      <c r="H279" s="69"/>
      <c r="I279" s="69"/>
      <c r="J279" s="69"/>
      <c r="K279" s="69"/>
      <c r="L279" s="107"/>
      <c r="M279" s="69"/>
      <c r="N279" s="107"/>
      <c r="O279" s="69"/>
      <c r="P279" s="69"/>
      <c r="Q279" s="69"/>
      <c r="R279" s="69"/>
      <c r="S279" s="69"/>
      <c r="T279" s="69"/>
      <c r="U279" s="69"/>
      <c r="V279" s="69"/>
      <c r="W279" s="69"/>
      <c r="X279" s="69"/>
    </row>
    <row r="280" spans="1:24" ht="14.25" customHeight="1">
      <c r="A280" s="71" t="s">
        <v>558</v>
      </c>
      <c r="B280" s="80">
        <v>38909.279999999999</v>
      </c>
      <c r="C280" s="102">
        <v>72264.960000000006</v>
      </c>
      <c r="D280" s="118">
        <v>77818.559999999998</v>
      </c>
      <c r="E280" s="82" t="s">
        <v>609</v>
      </c>
      <c r="F280" s="68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</row>
    <row r="281" spans="1:24" ht="14.25" customHeight="1">
      <c r="A281" s="71" t="s">
        <v>563</v>
      </c>
      <c r="B281" s="83">
        <v>4660.74</v>
      </c>
      <c r="C281" s="103">
        <v>7435.42</v>
      </c>
      <c r="D281" s="116">
        <v>9321.48</v>
      </c>
      <c r="E281" s="82" t="s">
        <v>609</v>
      </c>
      <c r="F281" s="68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</row>
    <row r="282" spans="1:24" ht="14.25" customHeight="1">
      <c r="A282" s="71" t="s">
        <v>564</v>
      </c>
      <c r="B282" s="83">
        <v>8437.39</v>
      </c>
      <c r="C282" s="103">
        <v>15633.53</v>
      </c>
      <c r="D282" s="116">
        <v>16874.78</v>
      </c>
      <c r="E282" s="82" t="s">
        <v>609</v>
      </c>
      <c r="F282" s="68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</row>
    <row r="283" spans="1:24" ht="14.25" customHeight="1">
      <c r="A283" s="71" t="s">
        <v>565</v>
      </c>
      <c r="B283" s="83">
        <v>2857.23</v>
      </c>
      <c r="C283" s="103">
        <v>5022.95</v>
      </c>
      <c r="D283" s="116">
        <v>5714.46</v>
      </c>
      <c r="E283" s="82" t="s">
        <v>609</v>
      </c>
      <c r="F283" s="68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</row>
    <row r="284" spans="1:24" ht="14.25" customHeight="1">
      <c r="A284" s="71" t="s">
        <v>566</v>
      </c>
      <c r="B284" s="83">
        <v>68.62</v>
      </c>
      <c r="C284" s="103">
        <v>150</v>
      </c>
      <c r="D284" s="123">
        <v>150</v>
      </c>
      <c r="E284" s="222"/>
      <c r="F284" s="68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</row>
    <row r="285" spans="1:24" ht="14.25" customHeight="1">
      <c r="A285" s="71" t="s">
        <v>572</v>
      </c>
      <c r="B285" s="83">
        <v>30</v>
      </c>
      <c r="C285" s="103">
        <v>15000</v>
      </c>
      <c r="D285" s="116">
        <v>15000</v>
      </c>
      <c r="E285" s="222"/>
      <c r="F285" s="68"/>
      <c r="G285" s="69"/>
      <c r="H285" s="69"/>
      <c r="I285" s="101"/>
      <c r="J285" s="101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</row>
    <row r="286" spans="1:24" ht="14.25" customHeight="1">
      <c r="A286" s="97" t="s">
        <v>578</v>
      </c>
      <c r="B286" s="98">
        <v>31491.29</v>
      </c>
      <c r="C286" s="103">
        <v>0</v>
      </c>
      <c r="D286" s="124">
        <v>147748</v>
      </c>
      <c r="E286" s="222" t="s">
        <v>611</v>
      </c>
      <c r="F286" s="100"/>
      <c r="G286" s="101"/>
      <c r="H286" s="101"/>
      <c r="I286" s="69"/>
      <c r="J286" s="69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</row>
    <row r="287" spans="1:24" ht="14.25" customHeight="1">
      <c r="A287" s="79" t="s">
        <v>481</v>
      </c>
      <c r="B287" s="117">
        <f t="shared" ref="B287:C287" si="28">SUM(B280:B286)</f>
        <v>86454.55</v>
      </c>
      <c r="C287" s="117">
        <f t="shared" si="28"/>
        <v>115506.86</v>
      </c>
      <c r="D287" s="117">
        <f>SUM(D280:D286)</f>
        <v>272627.28000000003</v>
      </c>
      <c r="E287" s="69"/>
      <c r="F287" s="68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</row>
    <row r="288" spans="1:24" ht="14.25" customHeight="1">
      <c r="A288" s="233" t="s">
        <v>396</v>
      </c>
      <c r="B288" s="234"/>
      <c r="C288" s="235"/>
      <c r="D288" s="112"/>
      <c r="E288" s="69"/>
      <c r="F288" s="68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</row>
    <row r="289" spans="1:24" ht="14.25" customHeight="1">
      <c r="A289" s="79" t="s">
        <v>482</v>
      </c>
      <c r="B289" s="71" t="s">
        <v>403</v>
      </c>
      <c r="C289" s="71" t="s">
        <v>403</v>
      </c>
      <c r="D289" s="112"/>
      <c r="E289" s="69"/>
      <c r="F289" s="68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</row>
    <row r="290" spans="1:24" ht="14.25" customHeight="1">
      <c r="A290" s="71" t="s">
        <v>564</v>
      </c>
      <c r="B290" s="80">
        <v>0</v>
      </c>
      <c r="C290" s="102">
        <v>71960.92</v>
      </c>
      <c r="D290" s="118">
        <v>71960.917259999987</v>
      </c>
      <c r="E290" s="76"/>
      <c r="F290" s="68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</row>
    <row r="291" spans="1:24" ht="14.25" customHeight="1">
      <c r="A291" s="71" t="s">
        <v>565</v>
      </c>
      <c r="B291" s="83">
        <v>0</v>
      </c>
      <c r="C291" s="103">
        <v>25240.76</v>
      </c>
      <c r="D291" s="118">
        <v>25240.761899999998</v>
      </c>
      <c r="E291" s="76"/>
      <c r="F291" s="68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</row>
    <row r="292" spans="1:24" ht="14.25" customHeight="1">
      <c r="A292" s="71" t="s">
        <v>568</v>
      </c>
      <c r="B292" s="83">
        <v>132939.46</v>
      </c>
      <c r="C292" s="103">
        <v>449944.6</v>
      </c>
      <c r="D292" s="116">
        <v>449944.6</v>
      </c>
      <c r="E292" s="71" t="s">
        <v>615</v>
      </c>
      <c r="F292" s="68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</row>
    <row r="293" spans="1:24" ht="14.25" customHeight="1">
      <c r="A293" s="71" t="s">
        <v>581</v>
      </c>
      <c r="B293" s="83">
        <v>39824.410000000003</v>
      </c>
      <c r="C293" s="103">
        <v>85000</v>
      </c>
      <c r="D293" s="116">
        <v>85000</v>
      </c>
      <c r="E293" s="76"/>
      <c r="F293" s="68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</row>
    <row r="294" spans="1:24" ht="14.25" customHeight="1">
      <c r="A294" s="71" t="s">
        <v>569</v>
      </c>
      <c r="B294" s="83">
        <v>13726.31</v>
      </c>
      <c r="C294" s="103">
        <v>40000</v>
      </c>
      <c r="D294" s="116">
        <v>40000</v>
      </c>
      <c r="E294" s="76"/>
      <c r="F294" s="68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</row>
    <row r="295" spans="1:24" ht="14.25" customHeight="1">
      <c r="A295" s="71" t="s">
        <v>580</v>
      </c>
      <c r="B295" s="83">
        <v>82668.38</v>
      </c>
      <c r="C295" s="103">
        <v>115000</v>
      </c>
      <c r="D295" s="116">
        <v>165336.76</v>
      </c>
      <c r="E295" s="82" t="s">
        <v>609</v>
      </c>
      <c r="F295" s="68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</row>
    <row r="296" spans="1:24" ht="14.25" customHeight="1">
      <c r="A296" s="71" t="s">
        <v>572</v>
      </c>
      <c r="B296" s="83">
        <v>344086.48</v>
      </c>
      <c r="C296" s="103">
        <v>390000</v>
      </c>
      <c r="D296" s="116">
        <v>390000</v>
      </c>
      <c r="E296" s="76"/>
      <c r="F296" s="68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</row>
    <row r="297" spans="1:24" ht="14.25" customHeight="1">
      <c r="A297" s="71" t="s">
        <v>596</v>
      </c>
      <c r="B297" s="83">
        <v>6965</v>
      </c>
      <c r="C297" s="103">
        <v>0</v>
      </c>
      <c r="D297" s="116">
        <v>15000</v>
      </c>
      <c r="E297" s="76" t="s">
        <v>621</v>
      </c>
      <c r="F297" s="68"/>
      <c r="G297" s="69"/>
      <c r="H297" s="69"/>
      <c r="I297" s="101"/>
      <c r="J297" s="101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</row>
    <row r="298" spans="1:24" ht="14.25" customHeight="1">
      <c r="A298" s="97" t="s">
        <v>578</v>
      </c>
      <c r="B298" s="98">
        <v>25375</v>
      </c>
      <c r="C298" s="103">
        <v>0</v>
      </c>
      <c r="D298" s="124">
        <v>25375</v>
      </c>
      <c r="E298" s="76" t="s">
        <v>612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</row>
    <row r="299" spans="1:24" ht="14.25" customHeight="1">
      <c r="A299" s="97" t="s">
        <v>597</v>
      </c>
      <c r="B299" s="98">
        <v>8539.3700000000008</v>
      </c>
      <c r="C299" s="103">
        <v>0</v>
      </c>
      <c r="D299" s="124">
        <v>8539.3700000000008</v>
      </c>
      <c r="E299" s="76" t="s">
        <v>613</v>
      </c>
      <c r="F299" s="100"/>
      <c r="G299" s="101"/>
      <c r="H299" s="101"/>
      <c r="I299" s="69"/>
      <c r="J299" s="69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</row>
    <row r="300" spans="1:24" ht="14.25" customHeight="1">
      <c r="A300" s="71" t="s">
        <v>537</v>
      </c>
      <c r="B300" s="83">
        <v>39650.18</v>
      </c>
      <c r="C300" s="103">
        <v>35000</v>
      </c>
      <c r="D300" s="116">
        <v>79000</v>
      </c>
      <c r="E300" s="76"/>
      <c r="F300" s="68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</row>
    <row r="301" spans="1:24" ht="14.25" customHeight="1">
      <c r="A301" s="71" t="s">
        <v>587</v>
      </c>
      <c r="B301" s="83">
        <v>17808</v>
      </c>
      <c r="C301" s="83">
        <v>40000</v>
      </c>
      <c r="D301" s="116">
        <v>40000</v>
      </c>
      <c r="E301" s="76"/>
      <c r="F301" s="68"/>
      <c r="G301" s="69"/>
      <c r="H301" s="69"/>
      <c r="I301" s="101"/>
      <c r="J301" s="101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</row>
    <row r="302" spans="1:24" ht="14.25" customHeight="1">
      <c r="A302" s="97" t="s">
        <v>598</v>
      </c>
      <c r="B302" s="98">
        <v>0</v>
      </c>
      <c r="C302" s="98">
        <v>22250</v>
      </c>
      <c r="D302" s="98">
        <v>22250</v>
      </c>
      <c r="E302" s="76"/>
      <c r="F302" s="100"/>
      <c r="G302" s="101"/>
      <c r="H302" s="101"/>
      <c r="I302" s="69"/>
      <c r="J302" s="69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</row>
    <row r="303" spans="1:24" ht="14.25" customHeight="1">
      <c r="A303" s="79" t="s">
        <v>483</v>
      </c>
      <c r="B303" s="117">
        <f t="shared" ref="B303:C303" si="29">SUM(B290:B302)</f>
        <v>711582.59000000008</v>
      </c>
      <c r="C303" s="117">
        <f t="shared" si="29"/>
        <v>1274396.28</v>
      </c>
      <c r="D303" s="117">
        <f>SUM(D290:D302)</f>
        <v>1417647.40916</v>
      </c>
      <c r="E303" s="69"/>
      <c r="F303" s="68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</row>
    <row r="304" spans="1:24" ht="14.25" customHeight="1">
      <c r="A304" s="79" t="s">
        <v>484</v>
      </c>
      <c r="B304" s="88">
        <f>B91+B105+B114+B124+B132+B136+B146+B153+B157+B165+B174+B184+B194+B205+B211+B218+B242+B253+B272+B277+B287+B303+B223</f>
        <v>12488097.689999999</v>
      </c>
      <c r="C304" s="88">
        <f>C91+C105+C114+C124+C132+C136+C146+C153+C157+C165+C174+C184+C194+C205+C211+C218+C242+C253+C272+C277+C287+C303+C223</f>
        <v>22408676.459999997</v>
      </c>
      <c r="D304" s="122">
        <f>D91+D105+D114+D124+D132+D136+D146+D153+D157+D165+D174+D184+D194+D205+D211+D218+D242+D253+D272+D277+D287+D303+D223</f>
        <v>25209601.938746396</v>
      </c>
      <c r="E304" s="69"/>
      <c r="F304" s="68"/>
      <c r="G304" s="95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</row>
    <row r="305" spans="1:24" ht="14.25" customHeight="1" thickBot="1">
      <c r="A305" s="79" t="s">
        <v>485</v>
      </c>
      <c r="B305" s="96">
        <f>B67-B304</f>
        <v>649903.66999999993</v>
      </c>
      <c r="C305" s="96">
        <f>C67-C304</f>
        <v>590107.74000000209</v>
      </c>
      <c r="D305" s="126">
        <f>D67-D304</f>
        <v>878896.16566860303</v>
      </c>
      <c r="E305" s="69"/>
      <c r="F305" s="68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</row>
    <row r="306" spans="1:24" ht="14.25" customHeight="1" thickTop="1">
      <c r="A306" s="70" t="s">
        <v>396</v>
      </c>
      <c r="B306" s="69"/>
      <c r="C306" s="69"/>
      <c r="D306" s="112"/>
      <c r="E306" s="69"/>
      <c r="F306" s="68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</row>
    <row r="307" spans="1:24" ht="14.25" hidden="1" customHeight="1">
      <c r="A307" s="70"/>
      <c r="B307" s="69"/>
      <c r="C307" s="69"/>
      <c r="D307" s="128">
        <f>D305-730506.89</f>
        <v>148389.27566860302</v>
      </c>
      <c r="E307" s="69"/>
      <c r="F307" s="68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</row>
    <row r="308" spans="1:24" ht="14.25" hidden="1" customHeight="1">
      <c r="A308" s="79" t="s">
        <v>486</v>
      </c>
      <c r="B308" s="69"/>
      <c r="C308" s="69"/>
      <c r="D308" s="112"/>
      <c r="E308" s="69"/>
      <c r="F308" s="68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</row>
    <row r="309" spans="1:24" ht="14.25" hidden="1" customHeight="1">
      <c r="A309" s="79" t="s">
        <v>487</v>
      </c>
      <c r="B309" s="69"/>
      <c r="C309" s="69"/>
      <c r="D309" s="112"/>
      <c r="E309" s="69"/>
      <c r="F309" s="68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</row>
    <row r="310" spans="1:24" ht="14.25" hidden="1" customHeight="1">
      <c r="A310" s="71" t="s">
        <v>490</v>
      </c>
      <c r="B310" s="80">
        <v>721223.15</v>
      </c>
      <c r="C310" s="80">
        <v>1002884.05</v>
      </c>
      <c r="D310" s="118">
        <v>0</v>
      </c>
      <c r="E310" s="82" t="s">
        <v>526</v>
      </c>
      <c r="F310" s="68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</row>
    <row r="311" spans="1:24" ht="14.25" hidden="1" customHeight="1">
      <c r="A311" s="79" t="s">
        <v>488</v>
      </c>
      <c r="B311" s="84">
        <f>SUM(B310:B310)</f>
        <v>721223.15</v>
      </c>
      <c r="C311" s="84">
        <f>SUM(C310:C310)</f>
        <v>1002884.05</v>
      </c>
      <c r="D311" s="117">
        <f>SUM(D310:D310)</f>
        <v>0</v>
      </c>
      <c r="E311" s="69"/>
      <c r="F311" s="68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</row>
    <row r="312" spans="1:24" ht="14.25" hidden="1" customHeight="1">
      <c r="A312" s="79" t="s">
        <v>489</v>
      </c>
      <c r="B312" s="88">
        <f t="shared" ref="B312:D312" si="30">B311</f>
        <v>721223.15</v>
      </c>
      <c r="C312" s="88">
        <f t="shared" si="30"/>
        <v>1002884.05</v>
      </c>
      <c r="D312" s="122">
        <f t="shared" si="30"/>
        <v>0</v>
      </c>
      <c r="E312" s="69"/>
      <c r="F312" s="68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</row>
    <row r="313" spans="1:24" ht="14.25" hidden="1" customHeight="1">
      <c r="A313" s="79" t="s">
        <v>485</v>
      </c>
      <c r="B313" s="96">
        <f>B305-B312</f>
        <v>-71319.480000000098</v>
      </c>
      <c r="C313" s="96">
        <f>C305-C312</f>
        <v>-412776.30999999796</v>
      </c>
      <c r="D313" s="127">
        <f>D305-D312</f>
        <v>878896.16566860303</v>
      </c>
      <c r="E313" s="69"/>
      <c r="F313" s="68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</row>
    <row r="314" spans="1:24" ht="14.25" hidden="1" customHeight="1" thickTop="1">
      <c r="A314" s="70"/>
      <c r="B314" s="69"/>
      <c r="C314" s="69"/>
      <c r="D314" s="112"/>
      <c r="E314" s="69"/>
      <c r="F314" s="68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</row>
    <row r="315" spans="1:24" ht="14.25" customHeight="1">
      <c r="A315" s="69"/>
      <c r="B315" s="69"/>
      <c r="C315" s="69"/>
      <c r="D315" s="112"/>
      <c r="E315" s="69"/>
      <c r="F315" s="68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</row>
    <row r="316" spans="1:24" ht="14.25" customHeight="1">
      <c r="A316" s="69"/>
      <c r="B316" s="69"/>
      <c r="C316" s="69"/>
      <c r="D316" s="128"/>
      <c r="E316" s="69"/>
      <c r="F316" s="68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</row>
    <row r="317" spans="1:24" ht="14.25" customHeight="1">
      <c r="A317" s="69"/>
      <c r="B317" s="69"/>
      <c r="C317" s="95"/>
      <c r="D317" s="112"/>
      <c r="E317" s="69"/>
      <c r="F317" s="68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</row>
    <row r="318" spans="1:24" ht="14.25" customHeight="1">
      <c r="A318" s="69"/>
      <c r="B318" s="69"/>
      <c r="C318" s="69"/>
      <c r="D318" s="223"/>
      <c r="E318" s="69"/>
      <c r="F318" s="68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</row>
    <row r="319" spans="1:24" ht="14.25" customHeight="1">
      <c r="A319" s="69"/>
      <c r="B319" s="69"/>
      <c r="C319" s="69"/>
      <c r="D319" s="112"/>
      <c r="E319" s="69"/>
      <c r="F319" s="68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</row>
    <row r="320" spans="1:24" ht="14.25" customHeight="1">
      <c r="A320" s="69"/>
      <c r="B320" s="69"/>
      <c r="C320" s="69"/>
      <c r="D320" s="112"/>
      <c r="E320" s="69"/>
      <c r="F320" s="68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</row>
    <row r="321" spans="1:24" ht="14.25" customHeight="1">
      <c r="A321" s="69"/>
      <c r="B321" s="69"/>
      <c r="C321" s="69"/>
      <c r="D321" s="112"/>
      <c r="E321" s="69"/>
      <c r="F321" s="68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</row>
    <row r="322" spans="1:24" ht="14.25" customHeight="1">
      <c r="A322" s="69"/>
      <c r="B322" s="69"/>
      <c r="C322" s="69"/>
      <c r="D322" s="112"/>
      <c r="E322" s="69"/>
      <c r="F322" s="68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</row>
    <row r="323" spans="1:24" ht="14.25" customHeight="1">
      <c r="A323" s="69"/>
      <c r="B323" s="69"/>
      <c r="C323" s="69"/>
      <c r="D323" s="112"/>
      <c r="E323" s="69"/>
      <c r="F323" s="68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</row>
    <row r="324" spans="1:24" ht="14.25" customHeight="1">
      <c r="A324" s="69"/>
      <c r="B324" s="69"/>
      <c r="C324" s="69"/>
      <c r="D324" s="112"/>
      <c r="E324" s="69"/>
      <c r="F324" s="68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</row>
    <row r="325" spans="1:24" ht="14.25" customHeight="1">
      <c r="A325" s="69"/>
      <c r="B325" s="69"/>
      <c r="C325" s="69"/>
      <c r="D325" s="112"/>
      <c r="E325" s="69"/>
      <c r="F325" s="68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</row>
    <row r="326" spans="1:24" ht="14.25" customHeight="1">
      <c r="A326" s="69"/>
      <c r="B326" s="69"/>
      <c r="C326" s="69"/>
      <c r="D326" s="112"/>
      <c r="E326" s="69"/>
      <c r="F326" s="68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</row>
    <row r="327" spans="1:24" ht="14.25" customHeight="1">
      <c r="A327" s="69"/>
      <c r="B327" s="69"/>
      <c r="C327" s="69"/>
      <c r="D327" s="112"/>
      <c r="E327" s="69"/>
      <c r="F327" s="68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</row>
    <row r="328" spans="1:24" ht="14.25" customHeight="1">
      <c r="A328" s="69"/>
      <c r="B328" s="69"/>
      <c r="C328" s="69"/>
      <c r="D328" s="112"/>
      <c r="E328" s="69"/>
      <c r="F328" s="68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</row>
    <row r="329" spans="1:24" ht="14.25" customHeight="1">
      <c r="A329" s="69"/>
      <c r="B329" s="69"/>
      <c r="C329" s="69"/>
      <c r="D329" s="112"/>
      <c r="E329" s="69"/>
      <c r="F329" s="68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</row>
    <row r="330" spans="1:24" ht="14.25" customHeight="1">
      <c r="A330" s="69"/>
      <c r="B330" s="69"/>
      <c r="C330" s="69"/>
      <c r="D330" s="112"/>
      <c r="E330" s="69"/>
      <c r="F330" s="68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</row>
    <row r="331" spans="1:24" ht="14.25" customHeight="1">
      <c r="A331" s="69"/>
      <c r="B331" s="69"/>
      <c r="C331" s="69"/>
      <c r="D331" s="112"/>
      <c r="E331" s="69"/>
      <c r="F331" s="68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</row>
    <row r="332" spans="1:24" ht="14.25" customHeight="1">
      <c r="A332" s="69"/>
      <c r="B332" s="69"/>
      <c r="C332" s="69"/>
      <c r="D332" s="112"/>
      <c r="E332" s="69"/>
      <c r="F332" s="68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</row>
    <row r="333" spans="1:24" ht="14.25" customHeight="1">
      <c r="A333" s="69"/>
      <c r="B333" s="69"/>
      <c r="C333" s="69"/>
      <c r="D333" s="112"/>
      <c r="E333" s="69"/>
      <c r="F333" s="68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</row>
    <row r="334" spans="1:24" ht="14.25" customHeight="1">
      <c r="A334" s="69"/>
      <c r="B334" s="69"/>
      <c r="C334" s="69"/>
      <c r="D334" s="112"/>
      <c r="E334" s="69"/>
      <c r="F334" s="68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</row>
    <row r="335" spans="1:24" ht="14.25" customHeight="1">
      <c r="A335" s="69"/>
      <c r="B335" s="69"/>
      <c r="C335" s="69"/>
      <c r="D335" s="112"/>
      <c r="E335" s="69"/>
      <c r="F335" s="68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</row>
    <row r="336" spans="1:24" ht="14.25" customHeight="1">
      <c r="A336" s="69"/>
      <c r="B336" s="69"/>
      <c r="C336" s="69"/>
      <c r="D336" s="112"/>
      <c r="E336" s="69"/>
      <c r="F336" s="68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</row>
    <row r="337" spans="1:24" ht="14.25" customHeight="1">
      <c r="A337" s="69"/>
      <c r="B337" s="69"/>
      <c r="C337" s="69"/>
      <c r="D337" s="112"/>
      <c r="E337" s="69"/>
      <c r="F337" s="68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</row>
    <row r="338" spans="1:24" ht="14.25" customHeight="1">
      <c r="A338" s="69"/>
      <c r="B338" s="69"/>
      <c r="C338" s="69"/>
      <c r="D338" s="112"/>
      <c r="E338" s="69"/>
      <c r="F338" s="68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</row>
    <row r="339" spans="1:24" ht="14.25" customHeight="1">
      <c r="A339" s="69"/>
      <c r="B339" s="69"/>
      <c r="C339" s="69"/>
      <c r="D339" s="112"/>
      <c r="E339" s="69"/>
      <c r="F339" s="68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</row>
    <row r="340" spans="1:24" ht="14.25" customHeight="1">
      <c r="A340" s="69"/>
      <c r="B340" s="69"/>
      <c r="C340" s="69"/>
      <c r="D340" s="112"/>
      <c r="E340" s="69"/>
      <c r="F340" s="68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</row>
    <row r="341" spans="1:24" ht="14.25" customHeight="1">
      <c r="A341" s="69"/>
      <c r="B341" s="69"/>
      <c r="C341" s="69"/>
      <c r="D341" s="112"/>
      <c r="E341" s="69"/>
      <c r="F341" s="68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</row>
    <row r="342" spans="1:24" ht="14.25" customHeight="1">
      <c r="A342" s="69"/>
      <c r="B342" s="69"/>
      <c r="C342" s="69"/>
      <c r="D342" s="112"/>
      <c r="E342" s="69"/>
      <c r="F342" s="68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</row>
    <row r="343" spans="1:24" ht="14.25" customHeight="1">
      <c r="A343" s="69"/>
      <c r="B343" s="69"/>
      <c r="C343" s="69"/>
      <c r="D343" s="112"/>
      <c r="E343" s="69"/>
      <c r="F343" s="68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</row>
    <row r="344" spans="1:24" ht="14.25" customHeight="1">
      <c r="A344" s="69"/>
      <c r="B344" s="69"/>
      <c r="C344" s="69"/>
      <c r="D344" s="112"/>
      <c r="E344" s="69"/>
      <c r="F344" s="68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</row>
    <row r="345" spans="1:24" ht="14.25" customHeight="1">
      <c r="A345" s="69"/>
      <c r="B345" s="69"/>
      <c r="C345" s="69"/>
      <c r="D345" s="112"/>
      <c r="E345" s="69"/>
      <c r="F345" s="68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</row>
    <row r="346" spans="1:24" ht="14.25" customHeight="1">
      <c r="A346" s="69"/>
      <c r="B346" s="69"/>
      <c r="C346" s="69"/>
      <c r="D346" s="112"/>
      <c r="E346" s="69"/>
      <c r="F346" s="68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</row>
    <row r="347" spans="1:24" ht="14.25" customHeight="1">
      <c r="A347" s="69"/>
      <c r="B347" s="69"/>
      <c r="C347" s="69"/>
      <c r="D347" s="112"/>
      <c r="E347" s="69"/>
      <c r="F347" s="68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</row>
    <row r="348" spans="1:24" ht="14.25" customHeight="1">
      <c r="A348" s="69"/>
      <c r="B348" s="69"/>
      <c r="C348" s="69"/>
      <c r="D348" s="112"/>
      <c r="E348" s="69"/>
      <c r="F348" s="68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</row>
    <row r="349" spans="1:24" ht="14.25" customHeight="1">
      <c r="A349" s="69"/>
      <c r="B349" s="69"/>
      <c r="C349" s="69"/>
      <c r="D349" s="112"/>
      <c r="E349" s="69"/>
      <c r="F349" s="68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</row>
    <row r="350" spans="1:24" ht="14.25" customHeight="1">
      <c r="A350" s="69"/>
      <c r="B350" s="69"/>
      <c r="C350" s="69"/>
      <c r="D350" s="112"/>
      <c r="E350" s="69"/>
      <c r="F350" s="68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</row>
    <row r="351" spans="1:24" ht="14.25" customHeight="1">
      <c r="A351" s="69"/>
      <c r="B351" s="69"/>
      <c r="C351" s="69"/>
      <c r="D351" s="112"/>
      <c r="E351" s="69"/>
      <c r="F351" s="68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</row>
    <row r="352" spans="1:24" ht="14.25" customHeight="1">
      <c r="A352" s="69"/>
      <c r="B352" s="69"/>
      <c r="C352" s="69"/>
      <c r="D352" s="112"/>
      <c r="E352" s="69"/>
      <c r="F352" s="68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</row>
    <row r="353" spans="1:24" ht="14.25" customHeight="1">
      <c r="A353" s="69"/>
      <c r="B353" s="69"/>
      <c r="C353" s="69"/>
      <c r="D353" s="112"/>
      <c r="E353" s="69"/>
      <c r="F353" s="68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</row>
    <row r="354" spans="1:24" ht="14.25" customHeight="1">
      <c r="A354" s="69"/>
      <c r="B354" s="69"/>
      <c r="C354" s="69"/>
      <c r="D354" s="112"/>
      <c r="E354" s="69"/>
      <c r="F354" s="68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</row>
    <row r="355" spans="1:24" ht="14.25" customHeight="1">
      <c r="A355" s="69"/>
      <c r="B355" s="69"/>
      <c r="C355" s="69"/>
      <c r="D355" s="112"/>
      <c r="E355" s="69"/>
      <c r="F355" s="68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</row>
    <row r="356" spans="1:24" ht="14.25" customHeight="1">
      <c r="A356" s="69"/>
      <c r="B356" s="69"/>
      <c r="C356" s="69"/>
      <c r="D356" s="112"/>
      <c r="E356" s="69"/>
      <c r="F356" s="68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</row>
    <row r="357" spans="1:24" ht="14.25" customHeight="1">
      <c r="A357" s="69"/>
      <c r="B357" s="69"/>
      <c r="C357" s="69"/>
      <c r="D357" s="112"/>
      <c r="E357" s="69"/>
      <c r="F357" s="68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</row>
    <row r="358" spans="1:24" ht="14.25" customHeight="1">
      <c r="A358" s="69"/>
      <c r="B358" s="69"/>
      <c r="C358" s="69"/>
      <c r="D358" s="112"/>
      <c r="E358" s="69"/>
      <c r="F358" s="68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</row>
    <row r="359" spans="1:24" ht="14.25" customHeight="1">
      <c r="A359" s="69"/>
      <c r="B359" s="69"/>
      <c r="C359" s="69"/>
      <c r="D359" s="112"/>
      <c r="E359" s="69"/>
      <c r="F359" s="68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</row>
    <row r="360" spans="1:24" ht="14.25" customHeight="1">
      <c r="A360" s="69"/>
      <c r="B360" s="69"/>
      <c r="C360" s="69"/>
      <c r="D360" s="112"/>
      <c r="E360" s="69"/>
      <c r="F360" s="68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</row>
    <row r="361" spans="1:24" ht="14.25" customHeight="1">
      <c r="A361" s="69"/>
      <c r="B361" s="69"/>
      <c r="C361" s="69"/>
      <c r="D361" s="112"/>
      <c r="E361" s="69"/>
      <c r="F361" s="68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</row>
    <row r="362" spans="1:24" ht="14.25" customHeight="1">
      <c r="A362" s="69"/>
      <c r="B362" s="69"/>
      <c r="C362" s="69"/>
      <c r="D362" s="112"/>
      <c r="E362" s="69"/>
      <c r="F362" s="68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</row>
    <row r="363" spans="1:24" ht="14.25" customHeight="1">
      <c r="A363" s="69"/>
      <c r="B363" s="69"/>
      <c r="C363" s="69"/>
      <c r="D363" s="112"/>
      <c r="E363" s="69"/>
      <c r="F363" s="68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</row>
    <row r="364" spans="1:24" ht="14.25" customHeight="1">
      <c r="A364" s="69"/>
      <c r="B364" s="69"/>
      <c r="C364" s="69"/>
      <c r="D364" s="112"/>
      <c r="E364" s="69"/>
      <c r="F364" s="68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</row>
    <row r="365" spans="1:24" ht="14.25" customHeight="1">
      <c r="A365" s="69"/>
      <c r="B365" s="69"/>
      <c r="C365" s="69"/>
      <c r="D365" s="112"/>
      <c r="E365" s="69"/>
      <c r="F365" s="68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</row>
    <row r="366" spans="1:24" ht="14.25" customHeight="1">
      <c r="A366" s="69"/>
      <c r="B366" s="69"/>
      <c r="C366" s="69"/>
      <c r="D366" s="112"/>
      <c r="E366" s="69"/>
      <c r="F366" s="68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</row>
    <row r="367" spans="1:24" ht="14.25" customHeight="1">
      <c r="A367" s="69"/>
      <c r="B367" s="69"/>
      <c r="C367" s="69"/>
      <c r="D367" s="112"/>
      <c r="E367" s="69"/>
      <c r="F367" s="68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</row>
    <row r="368" spans="1:24" ht="14.25" customHeight="1">
      <c r="A368" s="69"/>
      <c r="B368" s="69"/>
      <c r="C368" s="69"/>
      <c r="D368" s="112"/>
      <c r="E368" s="69"/>
      <c r="F368" s="68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</row>
    <row r="369" spans="1:24" ht="14.25" customHeight="1">
      <c r="A369" s="69"/>
      <c r="B369" s="69"/>
      <c r="C369" s="69"/>
      <c r="D369" s="112"/>
      <c r="E369" s="69"/>
      <c r="F369" s="68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</row>
    <row r="370" spans="1:24" ht="14.25" customHeight="1">
      <c r="A370" s="69"/>
      <c r="B370" s="69"/>
      <c r="C370" s="69"/>
      <c r="D370" s="112"/>
      <c r="E370" s="69"/>
      <c r="F370" s="68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</row>
    <row r="371" spans="1:24" ht="14.25" customHeight="1">
      <c r="A371" s="69"/>
      <c r="B371" s="69"/>
      <c r="C371" s="69"/>
      <c r="D371" s="112"/>
      <c r="E371" s="69"/>
      <c r="F371" s="68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</row>
    <row r="372" spans="1:24" ht="14.25" customHeight="1">
      <c r="A372" s="69"/>
      <c r="B372" s="69"/>
      <c r="C372" s="69"/>
      <c r="D372" s="112"/>
      <c r="E372" s="69"/>
      <c r="F372" s="68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</row>
    <row r="373" spans="1:24" ht="14.25" customHeight="1">
      <c r="A373" s="69"/>
      <c r="B373" s="69"/>
      <c r="C373" s="69"/>
      <c r="D373" s="112"/>
      <c r="E373" s="69"/>
      <c r="F373" s="68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</row>
    <row r="374" spans="1:24" ht="14.25" customHeight="1">
      <c r="A374" s="69"/>
      <c r="B374" s="69"/>
      <c r="C374" s="69"/>
      <c r="D374" s="112"/>
      <c r="E374" s="69"/>
      <c r="F374" s="68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</row>
    <row r="375" spans="1:24" ht="14.25" customHeight="1">
      <c r="A375" s="69"/>
      <c r="B375" s="69"/>
      <c r="C375" s="69"/>
      <c r="D375" s="112"/>
      <c r="E375" s="69"/>
      <c r="F375" s="68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</row>
    <row r="376" spans="1:24" ht="14.25" customHeight="1">
      <c r="A376" s="69"/>
      <c r="B376" s="69"/>
      <c r="C376" s="69"/>
      <c r="D376" s="112"/>
      <c r="E376" s="69"/>
      <c r="F376" s="68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</row>
    <row r="377" spans="1:24" ht="14.25" customHeight="1">
      <c r="A377" s="69"/>
      <c r="B377" s="69"/>
      <c r="C377" s="69"/>
      <c r="D377" s="112"/>
      <c r="E377" s="69"/>
      <c r="F377" s="68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</row>
    <row r="378" spans="1:24" ht="14.25" customHeight="1">
      <c r="A378" s="69"/>
      <c r="B378" s="69"/>
      <c r="C378" s="69"/>
      <c r="D378" s="112"/>
      <c r="E378" s="69"/>
      <c r="F378" s="68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</row>
    <row r="379" spans="1:24" ht="14.25" customHeight="1">
      <c r="A379" s="69"/>
      <c r="B379" s="69"/>
      <c r="C379" s="69"/>
      <c r="D379" s="112"/>
      <c r="E379" s="69"/>
      <c r="F379" s="68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</row>
    <row r="380" spans="1:24" ht="14.25" customHeight="1">
      <c r="A380" s="69"/>
      <c r="B380" s="69"/>
      <c r="C380" s="69"/>
      <c r="D380" s="112"/>
      <c r="E380" s="69"/>
      <c r="F380" s="68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</row>
    <row r="381" spans="1:24" ht="14.25" customHeight="1">
      <c r="A381" s="69"/>
      <c r="B381" s="69"/>
      <c r="C381" s="69"/>
      <c r="D381" s="112"/>
      <c r="E381" s="69"/>
      <c r="F381" s="68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</row>
    <row r="382" spans="1:24" ht="14.25" customHeight="1">
      <c r="A382" s="69"/>
      <c r="B382" s="69"/>
      <c r="C382" s="69"/>
      <c r="D382" s="112"/>
      <c r="E382" s="69"/>
      <c r="F382" s="68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</row>
    <row r="383" spans="1:24" ht="14.25" customHeight="1">
      <c r="A383" s="69"/>
      <c r="B383" s="69"/>
      <c r="C383" s="69"/>
      <c r="D383" s="112"/>
      <c r="E383" s="69"/>
      <c r="F383" s="68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</row>
    <row r="384" spans="1:24" ht="14.25" customHeight="1">
      <c r="A384" s="69"/>
      <c r="B384" s="69"/>
      <c r="C384" s="69"/>
      <c r="D384" s="112"/>
      <c r="E384" s="69"/>
      <c r="F384" s="68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</row>
    <row r="385" spans="1:24" ht="14.25" customHeight="1">
      <c r="A385" s="69"/>
      <c r="B385" s="69"/>
      <c r="C385" s="69"/>
      <c r="D385" s="112"/>
      <c r="E385" s="69"/>
      <c r="F385" s="68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</row>
    <row r="386" spans="1:24" ht="14.25" customHeight="1">
      <c r="A386" s="69"/>
      <c r="B386" s="69"/>
      <c r="C386" s="69"/>
      <c r="D386" s="112"/>
      <c r="E386" s="69"/>
      <c r="F386" s="68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</row>
    <row r="387" spans="1:24" ht="14.25" customHeight="1">
      <c r="A387" s="69"/>
      <c r="B387" s="69"/>
      <c r="C387" s="69"/>
      <c r="D387" s="112"/>
      <c r="E387" s="69"/>
      <c r="F387" s="68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</row>
    <row r="388" spans="1:24" ht="14.25" customHeight="1">
      <c r="A388" s="69"/>
      <c r="B388" s="69"/>
      <c r="C388" s="69"/>
      <c r="D388" s="112"/>
      <c r="E388" s="69"/>
      <c r="F388" s="68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</row>
    <row r="389" spans="1:24" ht="14.25" customHeight="1">
      <c r="A389" s="69"/>
      <c r="B389" s="69"/>
      <c r="C389" s="69"/>
      <c r="D389" s="112"/>
      <c r="E389" s="69"/>
      <c r="F389" s="68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</row>
    <row r="390" spans="1:24" ht="14.25" customHeight="1">
      <c r="A390" s="69"/>
      <c r="B390" s="69"/>
      <c r="C390" s="69"/>
      <c r="D390" s="112"/>
      <c r="E390" s="69"/>
      <c r="F390" s="68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</row>
    <row r="391" spans="1:24" ht="14.25" customHeight="1">
      <c r="A391" s="69"/>
      <c r="B391" s="69"/>
      <c r="C391" s="69"/>
      <c r="D391" s="112"/>
      <c r="E391" s="69"/>
      <c r="F391" s="68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</row>
    <row r="392" spans="1:24" ht="14.25" customHeight="1">
      <c r="A392" s="69"/>
      <c r="B392" s="69"/>
      <c r="C392" s="69"/>
      <c r="D392" s="112"/>
      <c r="E392" s="69"/>
      <c r="F392" s="68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</row>
    <row r="393" spans="1:24" ht="14.25" customHeight="1">
      <c r="A393" s="69"/>
      <c r="B393" s="69"/>
      <c r="C393" s="69"/>
      <c r="D393" s="112"/>
      <c r="E393" s="69"/>
      <c r="F393" s="68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</row>
    <row r="394" spans="1:24" ht="14.25" customHeight="1">
      <c r="A394" s="69"/>
      <c r="B394" s="69"/>
      <c r="C394" s="69"/>
      <c r="D394" s="112"/>
      <c r="E394" s="69"/>
      <c r="F394" s="68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</row>
    <row r="395" spans="1:24" ht="14.25" customHeight="1">
      <c r="A395" s="69"/>
      <c r="B395" s="69"/>
      <c r="C395" s="69"/>
      <c r="D395" s="112"/>
      <c r="E395" s="69"/>
      <c r="F395" s="68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</row>
    <row r="396" spans="1:24" ht="14.25" customHeight="1">
      <c r="A396" s="69"/>
      <c r="B396" s="69"/>
      <c r="C396" s="69"/>
      <c r="D396" s="112"/>
      <c r="E396" s="69"/>
      <c r="F396" s="68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</row>
    <row r="397" spans="1:24" ht="14.25" customHeight="1">
      <c r="A397" s="69"/>
      <c r="B397" s="69"/>
      <c r="C397" s="69"/>
      <c r="D397" s="112"/>
      <c r="E397" s="69"/>
      <c r="F397" s="68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</row>
    <row r="398" spans="1:24" ht="14.25" customHeight="1">
      <c r="A398" s="69"/>
      <c r="B398" s="69"/>
      <c r="C398" s="69"/>
      <c r="D398" s="112"/>
      <c r="E398" s="69"/>
      <c r="F398" s="68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</row>
    <row r="399" spans="1:24" ht="14.25" customHeight="1">
      <c r="A399" s="69"/>
      <c r="B399" s="69"/>
      <c r="C399" s="69"/>
      <c r="D399" s="112"/>
      <c r="E399" s="69"/>
      <c r="F399" s="68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</row>
    <row r="400" spans="1:24" ht="14.25" customHeight="1">
      <c r="A400" s="69"/>
      <c r="B400" s="69"/>
      <c r="C400" s="69"/>
      <c r="D400" s="112"/>
      <c r="E400" s="69"/>
      <c r="F400" s="68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</row>
    <row r="401" spans="1:24" ht="14.25" customHeight="1">
      <c r="A401" s="69"/>
      <c r="B401" s="69"/>
      <c r="C401" s="69"/>
      <c r="D401" s="112"/>
      <c r="E401" s="69"/>
      <c r="F401" s="68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</row>
    <row r="402" spans="1:24" ht="14.25" customHeight="1">
      <c r="A402" s="69"/>
      <c r="B402" s="69"/>
      <c r="C402" s="69"/>
      <c r="D402" s="112"/>
      <c r="E402" s="69"/>
      <c r="F402" s="68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</row>
    <row r="403" spans="1:24" ht="14.25" customHeight="1">
      <c r="A403" s="69"/>
      <c r="B403" s="69"/>
      <c r="C403" s="69"/>
      <c r="D403" s="112"/>
      <c r="E403" s="69"/>
      <c r="F403" s="68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</row>
    <row r="404" spans="1:24" ht="14.25" customHeight="1">
      <c r="A404" s="69"/>
      <c r="B404" s="69"/>
      <c r="C404" s="69"/>
      <c r="D404" s="112"/>
      <c r="E404" s="69"/>
      <c r="F404" s="68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</row>
    <row r="405" spans="1:24" ht="14.25" customHeight="1">
      <c r="A405" s="69"/>
      <c r="B405" s="69"/>
      <c r="C405" s="69"/>
      <c r="D405" s="112"/>
      <c r="E405" s="69"/>
      <c r="F405" s="68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</row>
    <row r="406" spans="1:24" ht="14.25" customHeight="1">
      <c r="A406" s="69"/>
      <c r="B406" s="69"/>
      <c r="C406" s="69"/>
      <c r="D406" s="112"/>
      <c r="E406" s="69"/>
      <c r="F406" s="68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</row>
    <row r="407" spans="1:24" ht="14.25" customHeight="1">
      <c r="A407" s="69"/>
      <c r="B407" s="69"/>
      <c r="C407" s="69"/>
      <c r="D407" s="112"/>
      <c r="E407" s="69"/>
      <c r="F407" s="68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</row>
    <row r="408" spans="1:24" ht="14.25" customHeight="1">
      <c r="A408" s="69"/>
      <c r="B408" s="69"/>
      <c r="C408" s="69"/>
      <c r="D408" s="112"/>
      <c r="E408" s="69"/>
      <c r="F408" s="68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</row>
    <row r="409" spans="1:24" ht="14.25" customHeight="1">
      <c r="A409" s="69"/>
      <c r="B409" s="69"/>
      <c r="C409" s="69"/>
      <c r="D409" s="112"/>
      <c r="E409" s="69"/>
      <c r="F409" s="68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</row>
    <row r="410" spans="1:24" ht="14.25" customHeight="1">
      <c r="A410" s="69"/>
      <c r="B410" s="69"/>
      <c r="C410" s="69"/>
      <c r="D410" s="112"/>
      <c r="E410" s="69"/>
      <c r="F410" s="68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</row>
    <row r="411" spans="1:24" ht="14.25" customHeight="1">
      <c r="A411" s="69"/>
      <c r="B411" s="69"/>
      <c r="C411" s="69"/>
      <c r="D411" s="112"/>
      <c r="E411" s="69"/>
      <c r="F411" s="68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</row>
    <row r="412" spans="1:24" ht="14.25" customHeight="1">
      <c r="A412" s="69"/>
      <c r="B412" s="69"/>
      <c r="C412" s="69"/>
      <c r="D412" s="112"/>
      <c r="E412" s="69"/>
      <c r="F412" s="68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</row>
    <row r="413" spans="1:24" ht="14.25" customHeight="1">
      <c r="A413" s="69"/>
      <c r="B413" s="69"/>
      <c r="C413" s="69"/>
      <c r="D413" s="112"/>
      <c r="E413" s="69"/>
      <c r="F413" s="68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</row>
    <row r="414" spans="1:24" ht="14.25" customHeight="1">
      <c r="A414" s="69"/>
      <c r="B414" s="69"/>
      <c r="C414" s="69"/>
      <c r="D414" s="112"/>
      <c r="E414" s="69"/>
      <c r="F414" s="68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</row>
    <row r="415" spans="1:24" ht="14.25" customHeight="1">
      <c r="A415" s="69"/>
      <c r="B415" s="69"/>
      <c r="C415" s="69"/>
      <c r="D415" s="112"/>
      <c r="E415" s="69"/>
      <c r="F415" s="68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</row>
    <row r="416" spans="1:24" ht="14.25" customHeight="1">
      <c r="A416" s="69"/>
      <c r="B416" s="69"/>
      <c r="C416" s="69"/>
      <c r="D416" s="112"/>
      <c r="E416" s="69"/>
      <c r="F416" s="68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</row>
    <row r="417" spans="1:24" ht="14.25" customHeight="1">
      <c r="A417" s="69"/>
      <c r="B417" s="69"/>
      <c r="C417" s="69"/>
      <c r="D417" s="112"/>
      <c r="E417" s="69"/>
      <c r="F417" s="68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</row>
    <row r="418" spans="1:24" ht="14.25" customHeight="1">
      <c r="A418" s="69"/>
      <c r="B418" s="69"/>
      <c r="C418" s="69"/>
      <c r="D418" s="112"/>
      <c r="E418" s="69"/>
      <c r="F418" s="68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</row>
    <row r="419" spans="1:24" ht="14.25" customHeight="1">
      <c r="A419" s="69"/>
      <c r="B419" s="69"/>
      <c r="C419" s="69"/>
      <c r="D419" s="112"/>
      <c r="E419" s="69"/>
      <c r="F419" s="68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</row>
    <row r="420" spans="1:24" ht="14.25" customHeight="1">
      <c r="A420" s="69"/>
      <c r="B420" s="69"/>
      <c r="C420" s="69"/>
      <c r="D420" s="112"/>
      <c r="E420" s="69"/>
      <c r="F420" s="68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</row>
    <row r="421" spans="1:24" ht="14.25" customHeight="1">
      <c r="A421" s="69"/>
      <c r="B421" s="69"/>
      <c r="C421" s="69"/>
      <c r="D421" s="112"/>
      <c r="E421" s="69"/>
      <c r="F421" s="68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</row>
    <row r="422" spans="1:24" ht="14.25" customHeight="1">
      <c r="A422" s="69"/>
      <c r="B422" s="69"/>
      <c r="C422" s="69"/>
      <c r="D422" s="112"/>
      <c r="E422" s="69"/>
      <c r="F422" s="68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</row>
    <row r="423" spans="1:24" ht="14.25" customHeight="1">
      <c r="A423" s="69"/>
      <c r="B423" s="69"/>
      <c r="C423" s="69"/>
      <c r="D423" s="112"/>
      <c r="E423" s="69"/>
      <c r="F423" s="68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</row>
    <row r="424" spans="1:24" ht="14.25" customHeight="1">
      <c r="A424" s="69"/>
      <c r="B424" s="69"/>
      <c r="C424" s="69"/>
      <c r="D424" s="112"/>
      <c r="E424" s="69"/>
      <c r="F424" s="68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</row>
    <row r="425" spans="1:24" ht="14.25" customHeight="1">
      <c r="A425" s="69"/>
      <c r="B425" s="69"/>
      <c r="C425" s="69"/>
      <c r="D425" s="112"/>
      <c r="E425" s="69"/>
      <c r="F425" s="68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</row>
    <row r="426" spans="1:24" ht="14.25" customHeight="1">
      <c r="A426" s="69"/>
      <c r="B426" s="69"/>
      <c r="C426" s="69"/>
      <c r="D426" s="112"/>
      <c r="E426" s="69"/>
      <c r="F426" s="68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</row>
    <row r="427" spans="1:24" ht="14.25" customHeight="1">
      <c r="A427" s="69"/>
      <c r="B427" s="69"/>
      <c r="C427" s="69"/>
      <c r="D427" s="112"/>
      <c r="E427" s="69"/>
      <c r="F427" s="68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</row>
    <row r="428" spans="1:24" ht="14.25" customHeight="1">
      <c r="A428" s="69"/>
      <c r="B428" s="69"/>
      <c r="C428" s="69"/>
      <c r="D428" s="112"/>
      <c r="E428" s="69"/>
      <c r="F428" s="68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</row>
    <row r="429" spans="1:24" ht="14.25" customHeight="1">
      <c r="A429" s="69"/>
      <c r="B429" s="69"/>
      <c r="C429" s="69"/>
      <c r="D429" s="112"/>
      <c r="E429" s="69"/>
      <c r="F429" s="68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</row>
    <row r="430" spans="1:24" ht="14.25" customHeight="1">
      <c r="A430" s="69"/>
      <c r="B430" s="69"/>
      <c r="C430" s="69"/>
      <c r="D430" s="112"/>
      <c r="E430" s="69"/>
      <c r="F430" s="68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</row>
    <row r="431" spans="1:24" ht="14.25" customHeight="1">
      <c r="A431" s="69"/>
      <c r="B431" s="69"/>
      <c r="C431" s="69"/>
      <c r="D431" s="112"/>
      <c r="E431" s="69"/>
      <c r="F431" s="68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</row>
    <row r="432" spans="1:24" ht="14.25" customHeight="1">
      <c r="A432" s="69"/>
      <c r="B432" s="69"/>
      <c r="C432" s="69"/>
      <c r="D432" s="112"/>
      <c r="E432" s="69"/>
      <c r="F432" s="68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</row>
    <row r="433" spans="1:24" ht="14.25" customHeight="1">
      <c r="A433" s="69"/>
      <c r="B433" s="69"/>
      <c r="C433" s="69"/>
      <c r="D433" s="112"/>
      <c r="E433" s="69"/>
      <c r="F433" s="68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</row>
    <row r="434" spans="1:24" ht="14.25" customHeight="1">
      <c r="A434" s="69"/>
      <c r="B434" s="69"/>
      <c r="C434" s="69"/>
      <c r="D434" s="112"/>
      <c r="E434" s="69"/>
      <c r="F434" s="68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</row>
    <row r="435" spans="1:24" ht="14.25" customHeight="1">
      <c r="A435" s="69"/>
      <c r="B435" s="69"/>
      <c r="C435" s="69"/>
      <c r="D435" s="112"/>
      <c r="E435" s="69"/>
      <c r="F435" s="68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</row>
    <row r="436" spans="1:24" ht="14.25" customHeight="1">
      <c r="A436" s="69"/>
      <c r="B436" s="69"/>
      <c r="C436" s="69"/>
      <c r="D436" s="112"/>
      <c r="E436" s="69"/>
      <c r="F436" s="68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</row>
    <row r="437" spans="1:24" ht="14.25" customHeight="1">
      <c r="A437" s="69"/>
      <c r="B437" s="69"/>
      <c r="C437" s="69"/>
      <c r="D437" s="112"/>
      <c r="E437" s="69"/>
      <c r="F437" s="68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</row>
    <row r="438" spans="1:24" ht="14.25" customHeight="1">
      <c r="A438" s="69"/>
      <c r="B438" s="69"/>
      <c r="C438" s="69"/>
      <c r="D438" s="112"/>
      <c r="E438" s="69"/>
      <c r="F438" s="68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</row>
    <row r="439" spans="1:24" ht="14.25" customHeight="1">
      <c r="A439" s="69"/>
      <c r="B439" s="69"/>
      <c r="C439" s="69"/>
      <c r="D439" s="112"/>
      <c r="E439" s="69"/>
      <c r="F439" s="68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</row>
    <row r="440" spans="1:24" ht="14.25" customHeight="1">
      <c r="A440" s="69"/>
      <c r="B440" s="69"/>
      <c r="C440" s="69"/>
      <c r="D440" s="112"/>
      <c r="E440" s="69"/>
      <c r="F440" s="68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</row>
    <row r="441" spans="1:24" ht="14.25" customHeight="1">
      <c r="A441" s="69"/>
      <c r="B441" s="69"/>
      <c r="C441" s="69"/>
      <c r="D441" s="112"/>
      <c r="E441" s="69"/>
      <c r="F441" s="68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</row>
    <row r="442" spans="1:24" ht="14.25" customHeight="1">
      <c r="A442" s="69"/>
      <c r="B442" s="69"/>
      <c r="C442" s="69"/>
      <c r="D442" s="112"/>
      <c r="E442" s="69"/>
      <c r="F442" s="68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</row>
    <row r="443" spans="1:24" ht="14.25" customHeight="1">
      <c r="A443" s="69"/>
      <c r="B443" s="69"/>
      <c r="C443" s="69"/>
      <c r="D443" s="112"/>
      <c r="E443" s="69"/>
      <c r="F443" s="68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</row>
    <row r="444" spans="1:24" ht="14.25" customHeight="1">
      <c r="A444" s="69"/>
      <c r="B444" s="69"/>
      <c r="C444" s="69"/>
      <c r="D444" s="112"/>
      <c r="E444" s="69"/>
      <c r="F444" s="68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</row>
    <row r="445" spans="1:24" ht="14.25" customHeight="1">
      <c r="A445" s="69"/>
      <c r="B445" s="69"/>
      <c r="C445" s="69"/>
      <c r="D445" s="112"/>
      <c r="E445" s="69"/>
      <c r="F445" s="68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</row>
    <row r="446" spans="1:24" ht="14.25" customHeight="1">
      <c r="A446" s="69"/>
      <c r="B446" s="69"/>
      <c r="C446" s="69"/>
      <c r="D446" s="112"/>
      <c r="E446" s="69"/>
      <c r="F446" s="68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</row>
    <row r="447" spans="1:24" ht="14.25" customHeight="1">
      <c r="A447" s="69"/>
      <c r="B447" s="69"/>
      <c r="C447" s="69"/>
      <c r="D447" s="112"/>
      <c r="E447" s="69"/>
      <c r="F447" s="68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</row>
    <row r="448" spans="1:24" ht="14.25" customHeight="1">
      <c r="A448" s="69"/>
      <c r="B448" s="69"/>
      <c r="C448" s="69"/>
      <c r="D448" s="112"/>
      <c r="E448" s="69"/>
      <c r="F448" s="68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</row>
    <row r="449" spans="1:24" ht="14.25" customHeight="1">
      <c r="A449" s="69"/>
      <c r="B449" s="69"/>
      <c r="C449" s="69"/>
      <c r="D449" s="112"/>
      <c r="E449" s="69"/>
      <c r="F449" s="68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</row>
    <row r="450" spans="1:24" ht="14.25" customHeight="1">
      <c r="A450" s="69"/>
      <c r="B450" s="69"/>
      <c r="C450" s="69"/>
      <c r="D450" s="112"/>
      <c r="E450" s="69"/>
      <c r="F450" s="68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</row>
    <row r="451" spans="1:24" ht="14.25" customHeight="1">
      <c r="A451" s="69"/>
      <c r="B451" s="69"/>
      <c r="C451" s="69"/>
      <c r="D451" s="112"/>
      <c r="E451" s="69"/>
      <c r="F451" s="68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</row>
    <row r="452" spans="1:24" ht="14.25" customHeight="1">
      <c r="A452" s="69"/>
      <c r="B452" s="69"/>
      <c r="C452" s="69"/>
      <c r="D452" s="112"/>
      <c r="E452" s="69"/>
      <c r="F452" s="68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</row>
    <row r="453" spans="1:24" ht="14.25" customHeight="1">
      <c r="A453" s="69"/>
      <c r="B453" s="69"/>
      <c r="C453" s="69"/>
      <c r="D453" s="112"/>
      <c r="E453" s="69"/>
      <c r="F453" s="68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</row>
    <row r="454" spans="1:24" ht="14.25" customHeight="1">
      <c r="A454" s="69"/>
      <c r="B454" s="69"/>
      <c r="C454" s="69"/>
      <c r="D454" s="112"/>
      <c r="E454" s="69"/>
      <c r="F454" s="68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</row>
    <row r="455" spans="1:24" ht="14.25" customHeight="1">
      <c r="A455" s="69"/>
      <c r="B455" s="69"/>
      <c r="C455" s="69"/>
      <c r="D455" s="112"/>
      <c r="E455" s="69"/>
      <c r="F455" s="68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</row>
    <row r="456" spans="1:24" ht="14.25" customHeight="1">
      <c r="A456" s="69"/>
      <c r="B456" s="69"/>
      <c r="C456" s="69"/>
      <c r="D456" s="112"/>
      <c r="E456" s="69"/>
      <c r="F456" s="68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</row>
    <row r="457" spans="1:24" ht="14.25" customHeight="1">
      <c r="A457" s="69"/>
      <c r="B457" s="69"/>
      <c r="C457" s="69"/>
      <c r="D457" s="112"/>
      <c r="E457" s="69"/>
      <c r="F457" s="68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</row>
    <row r="458" spans="1:24" ht="14.25" customHeight="1">
      <c r="A458" s="69"/>
      <c r="B458" s="69"/>
      <c r="C458" s="69"/>
      <c r="D458" s="112"/>
      <c r="E458" s="69"/>
      <c r="F458" s="68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</row>
    <row r="459" spans="1:24" ht="14.25" customHeight="1">
      <c r="A459" s="69"/>
      <c r="B459" s="69"/>
      <c r="C459" s="69"/>
      <c r="D459" s="112"/>
      <c r="E459" s="69"/>
      <c r="F459" s="68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</row>
    <row r="460" spans="1:24" ht="14.25" customHeight="1">
      <c r="A460" s="69"/>
      <c r="B460" s="69"/>
      <c r="C460" s="69"/>
      <c r="D460" s="112"/>
      <c r="E460" s="69"/>
      <c r="F460" s="68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</row>
    <row r="461" spans="1:24" ht="14.25" customHeight="1">
      <c r="A461" s="69"/>
      <c r="B461" s="69"/>
      <c r="C461" s="69"/>
      <c r="D461" s="112"/>
      <c r="E461" s="69"/>
      <c r="F461" s="68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</row>
    <row r="462" spans="1:24" ht="14.25" customHeight="1">
      <c r="A462" s="69"/>
      <c r="B462" s="69"/>
      <c r="C462" s="69"/>
      <c r="D462" s="112"/>
      <c r="E462" s="69"/>
      <c r="F462" s="68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</row>
    <row r="463" spans="1:24" ht="14.25" customHeight="1">
      <c r="A463" s="69"/>
      <c r="B463" s="69"/>
      <c r="C463" s="69"/>
      <c r="D463" s="112"/>
      <c r="E463" s="69"/>
      <c r="F463" s="68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</row>
    <row r="464" spans="1:24" ht="14.25" customHeight="1">
      <c r="A464" s="69"/>
      <c r="B464" s="69"/>
      <c r="C464" s="69"/>
      <c r="D464" s="112"/>
      <c r="E464" s="69"/>
      <c r="F464" s="68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</row>
    <row r="465" spans="1:24" ht="14.25" customHeight="1">
      <c r="A465" s="69"/>
      <c r="B465" s="69"/>
      <c r="C465" s="69"/>
      <c r="D465" s="112"/>
      <c r="E465" s="69"/>
      <c r="F465" s="68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</row>
    <row r="466" spans="1:24" ht="14.25" customHeight="1">
      <c r="A466" s="69"/>
      <c r="B466" s="69"/>
      <c r="C466" s="69"/>
      <c r="D466" s="112"/>
      <c r="E466" s="69"/>
      <c r="F466" s="68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</row>
    <row r="467" spans="1:24" ht="14.25" customHeight="1">
      <c r="A467" s="69"/>
      <c r="B467" s="69"/>
      <c r="C467" s="69"/>
      <c r="D467" s="112"/>
      <c r="E467" s="69"/>
      <c r="F467" s="68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</row>
    <row r="468" spans="1:24" ht="14.25" customHeight="1">
      <c r="A468" s="69"/>
      <c r="B468" s="69"/>
      <c r="C468" s="69"/>
      <c r="D468" s="112"/>
      <c r="E468" s="69"/>
      <c r="F468" s="68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</row>
    <row r="469" spans="1:24" ht="14.25" customHeight="1">
      <c r="A469" s="69"/>
      <c r="B469" s="69"/>
      <c r="C469" s="69"/>
      <c r="D469" s="112"/>
      <c r="E469" s="69"/>
      <c r="F469" s="68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</row>
    <row r="470" spans="1:24" ht="14.25" customHeight="1">
      <c r="A470" s="69"/>
      <c r="B470" s="69"/>
      <c r="C470" s="69"/>
      <c r="D470" s="112"/>
      <c r="E470" s="69"/>
      <c r="F470" s="68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</row>
    <row r="471" spans="1:24" ht="14.25" customHeight="1">
      <c r="A471" s="69"/>
      <c r="B471" s="69"/>
      <c r="C471" s="69"/>
      <c r="D471" s="112"/>
      <c r="E471" s="69"/>
      <c r="F471" s="68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</row>
    <row r="472" spans="1:24" ht="14.25" customHeight="1">
      <c r="A472" s="69"/>
      <c r="B472" s="69"/>
      <c r="C472" s="69"/>
      <c r="D472" s="112"/>
      <c r="E472" s="69"/>
      <c r="F472" s="68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</row>
    <row r="473" spans="1:24" ht="14.25" customHeight="1">
      <c r="A473" s="69"/>
      <c r="B473" s="69"/>
      <c r="C473" s="69"/>
      <c r="D473" s="112"/>
      <c r="E473" s="69"/>
      <c r="F473" s="68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</row>
    <row r="474" spans="1:24" ht="14.25" customHeight="1">
      <c r="A474" s="69"/>
      <c r="B474" s="69"/>
      <c r="C474" s="69"/>
      <c r="D474" s="112"/>
      <c r="E474" s="69"/>
      <c r="F474" s="68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</row>
    <row r="475" spans="1:24" ht="14.25" customHeight="1">
      <c r="A475" s="69"/>
      <c r="B475" s="69"/>
      <c r="C475" s="69"/>
      <c r="D475" s="112"/>
      <c r="E475" s="69"/>
      <c r="F475" s="68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</row>
    <row r="476" spans="1:24" ht="14.25" customHeight="1">
      <c r="A476" s="69"/>
      <c r="B476" s="69"/>
      <c r="C476" s="69"/>
      <c r="D476" s="112"/>
      <c r="E476" s="69"/>
      <c r="F476" s="68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</row>
    <row r="477" spans="1:24" ht="14.25" customHeight="1">
      <c r="A477" s="69"/>
      <c r="B477" s="69"/>
      <c r="C477" s="69"/>
      <c r="D477" s="112"/>
      <c r="E477" s="69"/>
      <c r="F477" s="68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</row>
    <row r="478" spans="1:24" ht="14.25" customHeight="1">
      <c r="A478" s="69"/>
      <c r="B478" s="69"/>
      <c r="C478" s="69"/>
      <c r="D478" s="112"/>
      <c r="E478" s="69"/>
      <c r="F478" s="68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</row>
    <row r="479" spans="1:24" ht="14.25" customHeight="1">
      <c r="A479" s="69"/>
      <c r="B479" s="69"/>
      <c r="C479" s="69"/>
      <c r="D479" s="112"/>
      <c r="E479" s="69"/>
      <c r="F479" s="68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</row>
    <row r="480" spans="1:24" ht="14.25" customHeight="1">
      <c r="A480" s="69"/>
      <c r="B480" s="69"/>
      <c r="C480" s="69"/>
      <c r="D480" s="112"/>
      <c r="E480" s="69"/>
      <c r="F480" s="68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</row>
    <row r="481" spans="1:24" ht="14.25" customHeight="1">
      <c r="A481" s="69"/>
      <c r="B481" s="69"/>
      <c r="C481" s="69"/>
      <c r="D481" s="112"/>
      <c r="E481" s="69"/>
      <c r="F481" s="68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</row>
    <row r="482" spans="1:24" ht="14.25" customHeight="1">
      <c r="A482" s="69"/>
      <c r="B482" s="69"/>
      <c r="C482" s="69"/>
      <c r="D482" s="112"/>
      <c r="E482" s="69"/>
      <c r="F482" s="68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</row>
    <row r="483" spans="1:24" ht="14.25" customHeight="1">
      <c r="A483" s="69"/>
      <c r="B483" s="69"/>
      <c r="C483" s="69"/>
      <c r="D483" s="112"/>
      <c r="E483" s="69"/>
      <c r="F483" s="68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</row>
    <row r="484" spans="1:24" ht="14.25" customHeight="1">
      <c r="A484" s="69"/>
      <c r="B484" s="69"/>
      <c r="C484" s="69"/>
      <c r="D484" s="112"/>
      <c r="E484" s="69"/>
      <c r="F484" s="68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</row>
    <row r="485" spans="1:24" ht="14.25" customHeight="1">
      <c r="A485" s="69"/>
      <c r="B485" s="69"/>
      <c r="C485" s="69"/>
      <c r="D485" s="112"/>
      <c r="E485" s="69"/>
      <c r="F485" s="68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</row>
    <row r="486" spans="1:24" ht="14.25" customHeight="1">
      <c r="A486" s="69"/>
      <c r="B486" s="69"/>
      <c r="C486" s="69"/>
      <c r="D486" s="112"/>
      <c r="E486" s="69"/>
      <c r="F486" s="68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</row>
    <row r="487" spans="1:24" ht="14.25" customHeight="1">
      <c r="A487" s="69"/>
      <c r="B487" s="69"/>
      <c r="C487" s="69"/>
      <c r="D487" s="112"/>
      <c r="E487" s="69"/>
      <c r="F487" s="68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</row>
    <row r="488" spans="1:24" ht="14.25" customHeight="1">
      <c r="A488" s="69"/>
      <c r="B488" s="69"/>
      <c r="C488" s="69"/>
      <c r="D488" s="112"/>
      <c r="E488" s="69"/>
      <c r="F488" s="68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</row>
    <row r="489" spans="1:24" ht="14.25" customHeight="1">
      <c r="A489" s="69"/>
      <c r="B489" s="69"/>
      <c r="C489" s="69"/>
      <c r="D489" s="112"/>
      <c r="E489" s="69"/>
      <c r="F489" s="68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</row>
    <row r="490" spans="1:24" ht="14.25" customHeight="1">
      <c r="A490" s="69"/>
      <c r="B490" s="69"/>
      <c r="C490" s="69"/>
      <c r="D490" s="112"/>
      <c r="E490" s="69"/>
      <c r="F490" s="68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</row>
    <row r="491" spans="1:24" ht="14.25" customHeight="1">
      <c r="A491" s="69"/>
      <c r="B491" s="69"/>
      <c r="C491" s="69"/>
      <c r="D491" s="112"/>
      <c r="E491" s="69"/>
      <c r="F491" s="68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</row>
    <row r="492" spans="1:24" ht="14.25" customHeight="1">
      <c r="A492" s="69"/>
      <c r="B492" s="69"/>
      <c r="C492" s="69"/>
      <c r="D492" s="112"/>
      <c r="E492" s="69"/>
      <c r="F492" s="68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</row>
    <row r="493" spans="1:24" ht="14.25" customHeight="1">
      <c r="A493" s="69"/>
      <c r="B493" s="69"/>
      <c r="C493" s="69"/>
      <c r="D493" s="112"/>
      <c r="E493" s="69"/>
      <c r="F493" s="68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</row>
    <row r="494" spans="1:24" ht="14.25" customHeight="1">
      <c r="A494" s="69"/>
      <c r="B494" s="69"/>
      <c r="C494" s="69"/>
      <c r="D494" s="112"/>
      <c r="E494" s="69"/>
      <c r="F494" s="68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</row>
    <row r="495" spans="1:24" ht="14.25" customHeight="1">
      <c r="A495" s="69"/>
      <c r="B495" s="69"/>
      <c r="C495" s="69"/>
      <c r="D495" s="112"/>
      <c r="E495" s="69"/>
      <c r="F495" s="68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</row>
    <row r="496" spans="1:24" ht="14.25" customHeight="1">
      <c r="A496" s="69"/>
      <c r="B496" s="69"/>
      <c r="C496" s="69"/>
      <c r="D496" s="112"/>
      <c r="E496" s="69"/>
      <c r="F496" s="68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</row>
    <row r="497" spans="1:24" ht="14.25" customHeight="1">
      <c r="A497" s="69"/>
      <c r="B497" s="69"/>
      <c r="C497" s="69"/>
      <c r="D497" s="112"/>
      <c r="E497" s="69"/>
      <c r="F497" s="68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</row>
    <row r="498" spans="1:24" ht="14.25" customHeight="1">
      <c r="A498" s="69"/>
      <c r="B498" s="69"/>
      <c r="C498" s="69"/>
      <c r="D498" s="112"/>
      <c r="E498" s="69"/>
      <c r="F498" s="68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</row>
    <row r="499" spans="1:24" ht="14.25" customHeight="1">
      <c r="A499" s="69"/>
      <c r="B499" s="69"/>
      <c r="C499" s="69"/>
      <c r="D499" s="112"/>
      <c r="E499" s="69"/>
      <c r="F499" s="68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</row>
    <row r="500" spans="1:24" ht="14.25" customHeight="1">
      <c r="A500" s="69"/>
      <c r="B500" s="69"/>
      <c r="C500" s="69"/>
      <c r="D500" s="112"/>
      <c r="E500" s="69"/>
      <c r="F500" s="68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</row>
    <row r="501" spans="1:24" ht="14.25" customHeight="1">
      <c r="A501" s="69"/>
      <c r="B501" s="69"/>
      <c r="C501" s="69"/>
      <c r="D501" s="112"/>
      <c r="E501" s="69"/>
      <c r="F501" s="68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</row>
    <row r="502" spans="1:24" ht="14.25" customHeight="1">
      <c r="A502" s="69"/>
      <c r="B502" s="69"/>
      <c r="C502" s="69"/>
      <c r="D502" s="112"/>
      <c r="E502" s="69"/>
      <c r="F502" s="68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</row>
    <row r="503" spans="1:24" ht="14.25" customHeight="1">
      <c r="A503" s="69"/>
      <c r="B503" s="69"/>
      <c r="C503" s="69"/>
      <c r="D503" s="112"/>
      <c r="E503" s="69"/>
      <c r="F503" s="68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</row>
    <row r="504" spans="1:24" ht="14.25" customHeight="1">
      <c r="A504" s="69"/>
      <c r="B504" s="69"/>
      <c r="C504" s="69"/>
      <c r="D504" s="112"/>
      <c r="E504" s="69"/>
      <c r="F504" s="68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</row>
    <row r="505" spans="1:24" ht="14.25" customHeight="1">
      <c r="A505" s="69"/>
      <c r="B505" s="69"/>
      <c r="C505" s="69"/>
      <c r="D505" s="112"/>
      <c r="E505" s="69"/>
      <c r="F505" s="68"/>
      <c r="G505" s="69"/>
      <c r="H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</row>
    <row r="506" spans="1:24" ht="15.75" customHeight="1">
      <c r="F506" s="5"/>
    </row>
    <row r="507" spans="1:24" ht="15.75" customHeight="1">
      <c r="F507" s="5"/>
    </row>
    <row r="508" spans="1:24" ht="15.75" customHeight="1">
      <c r="F508" s="5"/>
    </row>
    <row r="509" spans="1:24" ht="15.75" customHeight="1"/>
    <row r="510" spans="1:24" ht="15.75" customHeight="1"/>
    <row r="511" spans="1:24" ht="15.75" customHeight="1"/>
    <row r="512" spans="1:24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34">
    <mergeCell ref="A1:E1"/>
    <mergeCell ref="A2:E2"/>
    <mergeCell ref="A3:E3"/>
    <mergeCell ref="A14:C14"/>
    <mergeCell ref="A19:C19"/>
    <mergeCell ref="A24:C24"/>
    <mergeCell ref="A32:C32"/>
    <mergeCell ref="A42:C42"/>
    <mergeCell ref="A44:C44"/>
    <mergeCell ref="A51:C51"/>
    <mergeCell ref="A57:C57"/>
    <mergeCell ref="A61:C61"/>
    <mergeCell ref="A68:C68"/>
    <mergeCell ref="A92:C92"/>
    <mergeCell ref="A106:C106"/>
    <mergeCell ref="A115:C115"/>
    <mergeCell ref="A125:C125"/>
    <mergeCell ref="A133:C133"/>
    <mergeCell ref="A137:C137"/>
    <mergeCell ref="A147:C147"/>
    <mergeCell ref="A154:C154"/>
    <mergeCell ref="A224:C224"/>
    <mergeCell ref="A243:C243"/>
    <mergeCell ref="A254:C254"/>
    <mergeCell ref="A273:C273"/>
    <mergeCell ref="A278:C278"/>
    <mergeCell ref="A288:C288"/>
    <mergeCell ref="A158:C158"/>
    <mergeCell ref="A166:C166"/>
    <mergeCell ref="A175:C175"/>
    <mergeCell ref="A185:C185"/>
    <mergeCell ref="A195:C195"/>
    <mergeCell ref="A206:C206"/>
    <mergeCell ref="A212:C212"/>
  </mergeCells>
  <pageMargins left="0.7" right="0.7" top="0.75" bottom="0.75" header="0" footer="0"/>
  <pageSetup fitToHeight="0" orientation="landscape" r:id="rId1"/>
  <headerFooter>
    <oddHeader>&amp;R&amp;P</oddHeader>
    <oddFooter>&amp;LInternally Prepared&amp;C**UNAUDITED**&amp;RFor Management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40F2F-5ABC-456F-9034-C6E79CC01383}">
  <dimension ref="A1:B40"/>
  <sheetViews>
    <sheetView workbookViewId="0">
      <selection activeCell="A17" sqref="A17:B40"/>
    </sheetView>
  </sheetViews>
  <sheetFormatPr defaultRowHeight="14.4"/>
  <cols>
    <col min="1" max="1" width="12.21875" style="63" bestFit="1" customWidth="1"/>
  </cols>
  <sheetData>
    <row r="1" spans="1:1">
      <c r="A1" s="63">
        <v>12027.88</v>
      </c>
    </row>
    <row r="2" spans="1:1">
      <c r="A2" s="63">
        <v>8019.71</v>
      </c>
    </row>
    <row r="3" spans="1:1">
      <c r="A3" s="63">
        <v>4939.13</v>
      </c>
    </row>
    <row r="4" spans="1:1">
      <c r="A4" s="63">
        <v>9890</v>
      </c>
    </row>
    <row r="5" spans="1:1">
      <c r="A5" s="63">
        <v>17680</v>
      </c>
    </row>
    <row r="6" spans="1:1">
      <c r="A6" s="63">
        <v>11500</v>
      </c>
    </row>
    <row r="7" spans="1:1">
      <c r="A7" s="63">
        <v>8500</v>
      </c>
    </row>
    <row r="8" spans="1:1">
      <c r="A8" s="63">
        <v>5136</v>
      </c>
    </row>
    <row r="9" spans="1:1">
      <c r="A9" s="63">
        <v>6948</v>
      </c>
    </row>
    <row r="10" spans="1:1">
      <c r="A10" s="63">
        <v>7468</v>
      </c>
    </row>
    <row r="11" spans="1:1">
      <c r="A11" s="63">
        <v>4150</v>
      </c>
    </row>
    <row r="12" spans="1:1">
      <c r="A12" s="63">
        <v>4575</v>
      </c>
    </row>
    <row r="13" spans="1:1">
      <c r="A13" s="63">
        <v>12199.06</v>
      </c>
    </row>
    <row r="14" spans="1:1">
      <c r="A14" s="63">
        <f>SUM(A1:A13)</f>
        <v>113032.78</v>
      </c>
    </row>
    <row r="17" spans="1:2">
      <c r="A17" t="s">
        <v>623</v>
      </c>
      <c r="B17">
        <v>36</v>
      </c>
    </row>
    <row r="18" spans="1:2">
      <c r="A18" t="s">
        <v>624</v>
      </c>
      <c r="B18">
        <v>35</v>
      </c>
    </row>
    <row r="19" spans="1:2">
      <c r="A19" t="s">
        <v>625</v>
      </c>
      <c r="B19">
        <v>37</v>
      </c>
    </row>
    <row r="20" spans="1:2">
      <c r="A20" t="s">
        <v>626</v>
      </c>
      <c r="B20">
        <v>29</v>
      </c>
    </row>
    <row r="21" spans="1:2">
      <c r="A21" t="s">
        <v>627</v>
      </c>
      <c r="B21">
        <v>30</v>
      </c>
    </row>
    <row r="22" spans="1:2">
      <c r="A22" t="s">
        <v>628</v>
      </c>
      <c r="B22">
        <v>28</v>
      </c>
    </row>
    <row r="23" spans="1:2">
      <c r="A23" t="s">
        <v>629</v>
      </c>
      <c r="B23">
        <v>33</v>
      </c>
    </row>
    <row r="24" spans="1:2">
      <c r="A24" t="s">
        <v>630</v>
      </c>
      <c r="B24">
        <v>30</v>
      </c>
    </row>
    <row r="25" spans="1:2">
      <c r="A25" t="s">
        <v>631</v>
      </c>
      <c r="B25">
        <v>28</v>
      </c>
    </row>
    <row r="26" spans="1:2">
      <c r="A26" t="s">
        <v>632</v>
      </c>
      <c r="B26">
        <v>27</v>
      </c>
    </row>
    <row r="27" spans="1:2">
      <c r="A27" t="s">
        <v>633</v>
      </c>
      <c r="B27">
        <v>36</v>
      </c>
    </row>
    <row r="28" spans="1:2">
      <c r="A28" t="s">
        <v>634</v>
      </c>
      <c r="B28">
        <v>38</v>
      </c>
    </row>
    <row r="29" spans="1:2">
      <c r="A29" t="s">
        <v>623</v>
      </c>
      <c r="B29">
        <v>33</v>
      </c>
    </row>
    <row r="30" spans="1:2">
      <c r="A30" t="s">
        <v>624</v>
      </c>
      <c r="B30">
        <v>42</v>
      </c>
    </row>
    <row r="31" spans="1:2">
      <c r="A31" t="s">
        <v>625</v>
      </c>
      <c r="B31">
        <v>56</v>
      </c>
    </row>
    <row r="32" spans="1:2">
      <c r="A32" t="s">
        <v>626</v>
      </c>
      <c r="B32">
        <v>34</v>
      </c>
    </row>
    <row r="33" spans="1:2">
      <c r="A33" t="s">
        <v>627</v>
      </c>
      <c r="B33">
        <v>34</v>
      </c>
    </row>
    <row r="34" spans="1:2">
      <c r="A34" t="s">
        <v>628</v>
      </c>
      <c r="B34">
        <v>32</v>
      </c>
    </row>
    <row r="35" spans="1:2">
      <c r="A35" t="s">
        <v>629</v>
      </c>
      <c r="B35">
        <v>37</v>
      </c>
    </row>
    <row r="36" spans="1:2">
      <c r="A36" t="s">
        <v>630</v>
      </c>
      <c r="B36">
        <f>B24+4</f>
        <v>34</v>
      </c>
    </row>
    <row r="37" spans="1:2">
      <c r="A37" t="s">
        <v>631</v>
      </c>
      <c r="B37">
        <f>B25+4</f>
        <v>32</v>
      </c>
    </row>
    <row r="38" spans="1:2">
      <c r="A38" t="s">
        <v>632</v>
      </c>
      <c r="B38">
        <f>B26+4</f>
        <v>31</v>
      </c>
    </row>
    <row r="39" spans="1:2">
      <c r="A39" t="s">
        <v>633</v>
      </c>
      <c r="B39">
        <f>B27+4</f>
        <v>40</v>
      </c>
    </row>
    <row r="40" spans="1:2">
      <c r="A40" t="s">
        <v>634</v>
      </c>
      <c r="B40">
        <f>B28+4</f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FY23 EFA</vt:lpstr>
      <vt:lpstr>FY23 Staffing Schedule</vt:lpstr>
      <vt:lpstr>FY23 Budget </vt:lpstr>
      <vt:lpstr>Sheet1</vt:lpstr>
      <vt:lpstr>'FY23 Budget '!Print_Area</vt:lpstr>
      <vt:lpstr>'FY23 Budget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King</dc:creator>
  <cp:lastModifiedBy>Andrew Cilone</cp:lastModifiedBy>
  <cp:lastPrinted>2022-06-24T15:23:10Z</cp:lastPrinted>
  <dcterms:created xsi:type="dcterms:W3CDTF">2022-02-15T19:12:33Z</dcterms:created>
  <dcterms:modified xsi:type="dcterms:W3CDTF">2023-02-02T19:28:14Z</dcterms:modified>
</cp:coreProperties>
</file>