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G:\2017-18 Tangi Budget\"/>
    </mc:Choice>
  </mc:AlternateContent>
  <bookViews>
    <workbookView xWindow="0" yWindow="0" windowWidth="19440" windowHeight="8115" tabRatio="766" xr2:uid="{00000000-000D-0000-FFFF-FFFF00000000}"/>
  </bookViews>
  <sheets>
    <sheet name="Budget Summary" sheetId="23" r:id="rId1"/>
    <sheet name="Staffing Summary" sheetId="22" r:id="rId2"/>
    <sheet name="Assumption Data" sheetId="12" r:id="rId3"/>
    <sheet name="Staffing" sheetId="11" r:id="rId4"/>
    <sheet name="Food Service" sheetId="24" r:id="rId5"/>
    <sheet name="Professional services" sheetId="16" r:id="rId6"/>
    <sheet name="Property services" sheetId="17" r:id="rId7"/>
    <sheet name="Other services" sheetId="18" r:id="rId8"/>
    <sheet name="Supplies Textbooks" sheetId="19" r:id="rId9"/>
    <sheet name="Equipment" sheetId="20" r:id="rId10"/>
    <sheet name="Misc Exp" sheetId="21" r:id="rId11"/>
    <sheet name="Deferred Schedule 2016_2017" sheetId="27" r:id="rId12"/>
  </sheets>
  <definedNames>
    <definedName name="_xlnm.Print_Area" localSheetId="11">'Deferred Schedule 2016_2017'!$A$4:$E$19</definedName>
    <definedName name="_xlnm.Print_Titles" localSheetId="11">'Deferred Schedule 2016_2017'!$1:$3</definedName>
    <definedName name="_xlnm.Print_Titles" localSheetId="3">Staffing!$1:$5</definedName>
  </definedNames>
  <calcPr calcId="171027"/>
</workbook>
</file>

<file path=xl/calcChain.xml><?xml version="1.0" encoding="utf-8"?>
<calcChain xmlns="http://schemas.openxmlformats.org/spreadsheetml/2006/main">
  <c r="B14" i="12" l="1"/>
  <c r="B82" i="17" l="1"/>
  <c r="B7" i="19"/>
  <c r="B65" i="19"/>
  <c r="B51" i="19" l="1"/>
  <c r="C51" i="11"/>
  <c r="B13" i="20" l="1"/>
  <c r="C14" i="23"/>
  <c r="C13" i="23"/>
  <c r="C12" i="23"/>
  <c r="E90" i="11" l="1"/>
  <c r="B62" i="18"/>
  <c r="C90" i="11"/>
  <c r="F50" i="11"/>
  <c r="F53" i="11"/>
  <c r="B79" i="17"/>
  <c r="I17" i="22" l="1"/>
  <c r="J17" i="22"/>
  <c r="K17" i="22"/>
  <c r="L17" i="22"/>
  <c r="M17" i="22" s="1"/>
  <c r="F17" i="22"/>
  <c r="G17" i="22"/>
  <c r="I38" i="22"/>
  <c r="J38" i="22"/>
  <c r="K38" i="22"/>
  <c r="L38" i="22"/>
  <c r="M38" i="22"/>
  <c r="F38" i="22"/>
  <c r="G38" i="22"/>
  <c r="B50" i="18" l="1"/>
  <c r="D26" i="12"/>
  <c r="D24" i="12"/>
  <c r="B15" i="16" l="1"/>
  <c r="B13" i="16"/>
  <c r="B57" i="12" l="1"/>
  <c r="B36" i="12" l="1"/>
  <c r="B34" i="18" l="1"/>
  <c r="C17" i="23" l="1"/>
  <c r="B21" i="16"/>
  <c r="B36" i="16"/>
  <c r="B35" i="16"/>
  <c r="B89" i="17" l="1"/>
  <c r="B14" i="16"/>
  <c r="B10" i="16" l="1"/>
  <c r="B17" i="16" l="1"/>
  <c r="B33" i="24" l="1"/>
  <c r="B27" i="24"/>
  <c r="B54" i="12" l="1"/>
  <c r="D11" i="27" l="1"/>
  <c r="C128" i="11" l="1"/>
  <c r="B85" i="16" l="1"/>
  <c r="B84" i="16"/>
  <c r="B64" i="16"/>
  <c r="B9" i="20" l="1"/>
  <c r="B10" i="20"/>
  <c r="B60" i="20"/>
  <c r="B7" i="20"/>
  <c r="B65" i="17"/>
  <c r="B69" i="18"/>
  <c r="B52" i="16"/>
  <c r="B45" i="18"/>
  <c r="B72" i="16"/>
  <c r="E61" i="11"/>
  <c r="B58" i="17" l="1"/>
  <c r="B68" i="17"/>
  <c r="B47" i="17"/>
  <c r="B83" i="17"/>
  <c r="B83" i="16"/>
  <c r="B38" i="22" l="1"/>
  <c r="B37" i="22"/>
  <c r="B36" i="22"/>
  <c r="B17" i="22"/>
  <c r="B16" i="22"/>
  <c r="B15" i="22"/>
  <c r="B14" i="22"/>
  <c r="B12" i="22"/>
  <c r="B11" i="22"/>
  <c r="B10" i="22"/>
  <c r="F31" i="11"/>
  <c r="E16" i="11"/>
  <c r="E120" i="11"/>
  <c r="D38" i="22" s="1"/>
  <c r="E50" i="11"/>
  <c r="B16" i="12"/>
  <c r="B7" i="24" s="1"/>
  <c r="B8" i="24" l="1"/>
  <c r="G8" i="24" s="1"/>
  <c r="G7" i="24"/>
  <c r="B51" i="12"/>
  <c r="B46" i="16"/>
  <c r="B85" i="17"/>
  <c r="E128" i="11"/>
  <c r="E131" i="11" s="1"/>
  <c r="D41" i="22" s="1"/>
  <c r="C5" i="23"/>
  <c r="E14" i="23" s="1"/>
  <c r="D18" i="27"/>
  <c r="C61" i="23" s="1"/>
  <c r="B76" i="18"/>
  <c r="D7" i="24"/>
  <c r="E118" i="11"/>
  <c r="D36" i="22" s="1"/>
  <c r="F103" i="11"/>
  <c r="B33" i="22" s="1"/>
  <c r="K15" i="22"/>
  <c r="B15" i="20"/>
  <c r="B71" i="19"/>
  <c r="B74" i="19" s="1"/>
  <c r="C38" i="23" s="1"/>
  <c r="B62" i="17"/>
  <c r="E103" i="11"/>
  <c r="D33" i="22" s="1"/>
  <c r="E60" i="11"/>
  <c r="E119" i="11"/>
  <c r="D37" i="22" s="1"/>
  <c r="B41" i="21"/>
  <c r="B44" i="21" s="1"/>
  <c r="E117" i="11"/>
  <c r="C42" i="23"/>
  <c r="C24" i="23"/>
  <c r="B46" i="12"/>
  <c r="C21" i="23" s="1"/>
  <c r="C15" i="23"/>
  <c r="I37" i="22"/>
  <c r="B39" i="22"/>
  <c r="I39" i="22" s="1"/>
  <c r="B28" i="22"/>
  <c r="K28" i="22" s="1"/>
  <c r="B29" i="22"/>
  <c r="I29" i="22" s="1"/>
  <c r="B30" i="22"/>
  <c r="I30" i="22" s="1"/>
  <c r="B31" i="22"/>
  <c r="I31" i="22" s="1"/>
  <c r="B19" i="22"/>
  <c r="K19" i="22" s="1"/>
  <c r="B18" i="22"/>
  <c r="I18" i="22" s="1"/>
  <c r="K16" i="22"/>
  <c r="K14" i="22"/>
  <c r="B13" i="22"/>
  <c r="I13" i="22" s="1"/>
  <c r="I12" i="22"/>
  <c r="I11" i="22"/>
  <c r="I10" i="22"/>
  <c r="E110" i="11"/>
  <c r="E88" i="11"/>
  <c r="E92" i="11"/>
  <c r="D31" i="22" s="1"/>
  <c r="E54" i="11"/>
  <c r="E13" i="11"/>
  <c r="E14" i="11"/>
  <c r="E15" i="11"/>
  <c r="B98" i="16"/>
  <c r="C43" i="23"/>
  <c r="B89" i="16"/>
  <c r="E109" i="11"/>
  <c r="F111" i="11"/>
  <c r="E89" i="11"/>
  <c r="D28" i="22" s="1"/>
  <c r="D29" i="22"/>
  <c r="E91" i="11"/>
  <c r="D30" i="22" s="1"/>
  <c r="E77" i="11"/>
  <c r="E78" i="11"/>
  <c r="E79" i="11"/>
  <c r="E80" i="11"/>
  <c r="E81" i="11"/>
  <c r="F82" i="11"/>
  <c r="B25" i="22" s="1"/>
  <c r="I25" i="22" s="1"/>
  <c r="E62" i="11"/>
  <c r="E63" i="11"/>
  <c r="E64" i="11"/>
  <c r="E65" i="11"/>
  <c r="E66" i="11"/>
  <c r="A1" i="17"/>
  <c r="A1" i="18" s="1"/>
  <c r="A1" i="19" s="1"/>
  <c r="E10" i="11"/>
  <c r="E11" i="11"/>
  <c r="E12" i="11"/>
  <c r="E17" i="11"/>
  <c r="E18" i="11"/>
  <c r="E19" i="11"/>
  <c r="E21" i="11"/>
  <c r="E27" i="11"/>
  <c r="D17" i="22" s="1"/>
  <c r="E23" i="11"/>
  <c r="E24" i="11"/>
  <c r="E25" i="11"/>
  <c r="E36" i="11"/>
  <c r="E37" i="11"/>
  <c r="E38" i="11"/>
  <c r="F140" i="11"/>
  <c r="B43" i="22" s="1"/>
  <c r="F131" i="11"/>
  <c r="B41" i="22" s="1"/>
  <c r="I41" i="22" s="1"/>
  <c r="F93" i="11"/>
  <c r="F67" i="11"/>
  <c r="B23" i="22" s="1"/>
  <c r="I23" i="22" s="1"/>
  <c r="F57" i="11"/>
  <c r="B22" i="22" s="1"/>
  <c r="I22" i="22" s="1"/>
  <c r="F40" i="11"/>
  <c r="F34" i="11"/>
  <c r="E137" i="11"/>
  <c r="E138" i="11"/>
  <c r="E121" i="11"/>
  <c r="D39" i="22" s="1"/>
  <c r="E51" i="11"/>
  <c r="E52" i="11"/>
  <c r="E53" i="11"/>
  <c r="E55" i="11"/>
  <c r="E56" i="11"/>
  <c r="B62" i="20"/>
  <c r="B55" i="20"/>
  <c r="B47" i="20"/>
  <c r="B40" i="20"/>
  <c r="C52" i="23" s="1"/>
  <c r="B31" i="20"/>
  <c r="B23" i="20"/>
  <c r="B67" i="19"/>
  <c r="C47" i="23" s="1"/>
  <c r="B60" i="19"/>
  <c r="B53" i="19"/>
  <c r="C46" i="23" s="1"/>
  <c r="B46" i="19"/>
  <c r="B41" i="19"/>
  <c r="B32" i="19"/>
  <c r="B27" i="19"/>
  <c r="B20" i="19"/>
  <c r="B73" i="18"/>
  <c r="C40" i="23" s="1"/>
  <c r="B91" i="17"/>
  <c r="B55" i="17"/>
  <c r="B49" i="17"/>
  <c r="B44" i="17"/>
  <c r="B36" i="17"/>
  <c r="B30" i="17"/>
  <c r="B22" i="17"/>
  <c r="B16" i="17"/>
  <c r="B9" i="17"/>
  <c r="B80" i="16"/>
  <c r="B66" i="16"/>
  <c r="B58" i="16"/>
  <c r="B30" i="16"/>
  <c r="A1" i="21"/>
  <c r="B11" i="21"/>
  <c r="B19" i="21"/>
  <c r="B26" i="21"/>
  <c r="B37" i="21"/>
  <c r="B50" i="21"/>
  <c r="I9" i="11"/>
  <c r="J9" i="11"/>
  <c r="K9" i="11"/>
  <c r="L9" i="11"/>
  <c r="M9" i="11"/>
  <c r="D8" i="24" l="1"/>
  <c r="C51" i="23"/>
  <c r="J8" i="24"/>
  <c r="I8" i="24"/>
  <c r="I7" i="24"/>
  <c r="C53" i="23"/>
  <c r="E53" i="23" s="1"/>
  <c r="B65" i="20"/>
  <c r="C49" i="23"/>
  <c r="E49" i="23" s="1"/>
  <c r="B23" i="16"/>
  <c r="C34" i="23" s="1"/>
  <c r="E34" i="23" s="1"/>
  <c r="D14" i="22"/>
  <c r="G14" i="22" s="1"/>
  <c r="D12" i="22"/>
  <c r="J12" i="22" s="1"/>
  <c r="E111" i="11"/>
  <c r="B99" i="17"/>
  <c r="C37" i="23" s="1"/>
  <c r="E37" i="23" s="1"/>
  <c r="C35" i="23"/>
  <c r="E35" i="23" s="1"/>
  <c r="D10" i="22"/>
  <c r="J10" i="22" s="1"/>
  <c r="I15" i="24"/>
  <c r="D16" i="22"/>
  <c r="G16" i="22" s="1"/>
  <c r="K12" i="22"/>
  <c r="E140" i="11"/>
  <c r="D43" i="22" s="1"/>
  <c r="J43" i="22" s="1"/>
  <c r="D11" i="22"/>
  <c r="G11" i="22" s="1"/>
  <c r="K23" i="22"/>
  <c r="I19" i="22"/>
  <c r="K18" i="22"/>
  <c r="I14" i="22"/>
  <c r="K31" i="22"/>
  <c r="K39" i="22"/>
  <c r="I16" i="22"/>
  <c r="D13" i="22"/>
  <c r="G13" i="22" s="1"/>
  <c r="K41" i="22"/>
  <c r="F69" i="11"/>
  <c r="E57" i="11"/>
  <c r="D22" i="22" s="1"/>
  <c r="G22" i="22" s="1"/>
  <c r="E40" i="11"/>
  <c r="E67" i="11"/>
  <c r="D23" i="22" s="1"/>
  <c r="F39" i="22"/>
  <c r="L39" i="22"/>
  <c r="J39" i="22"/>
  <c r="G39" i="22"/>
  <c r="L31" i="22"/>
  <c r="G31" i="22"/>
  <c r="J31" i="22"/>
  <c r="F31" i="22"/>
  <c r="F37" i="22"/>
  <c r="G37" i="22"/>
  <c r="G30" i="22"/>
  <c r="J30" i="22"/>
  <c r="L41" i="22"/>
  <c r="J41" i="22"/>
  <c r="F41" i="22"/>
  <c r="I43" i="22"/>
  <c r="K43" i="22"/>
  <c r="L29" i="22"/>
  <c r="F29" i="22"/>
  <c r="J29" i="22"/>
  <c r="G29" i="22"/>
  <c r="J33" i="22"/>
  <c r="G33" i="22"/>
  <c r="E122" i="11"/>
  <c r="G28" i="22"/>
  <c r="J28" i="22"/>
  <c r="I33" i="22"/>
  <c r="K33" i="22"/>
  <c r="K37" i="22"/>
  <c r="K25" i="22"/>
  <c r="D19" i="22"/>
  <c r="E82" i="11"/>
  <c r="D25" i="22" s="1"/>
  <c r="J25" i="22" s="1"/>
  <c r="K13" i="22"/>
  <c r="F42" i="11"/>
  <c r="E34" i="11"/>
  <c r="D18" i="22" s="1"/>
  <c r="E93" i="11"/>
  <c r="K29" i="22"/>
  <c r="K10" i="22"/>
  <c r="E20" i="11"/>
  <c r="D15" i="22" s="1"/>
  <c r="F15" i="22" s="1"/>
  <c r="F122" i="11"/>
  <c r="G41" i="22"/>
  <c r="I15" i="22"/>
  <c r="F30" i="22"/>
  <c r="L37" i="22"/>
  <c r="F28" i="22"/>
  <c r="K22" i="22"/>
  <c r="L33" i="22"/>
  <c r="L30" i="22"/>
  <c r="J37" i="22"/>
  <c r="K11" i="22"/>
  <c r="L28" i="22"/>
  <c r="K30" i="22"/>
  <c r="I28" i="22"/>
  <c r="F33" i="22"/>
  <c r="E52" i="23"/>
  <c r="E17" i="23"/>
  <c r="E15" i="23"/>
  <c r="E21" i="23"/>
  <c r="E51" i="23"/>
  <c r="E13" i="23"/>
  <c r="E47" i="23"/>
  <c r="E40" i="23"/>
  <c r="E12" i="23"/>
  <c r="E38" i="23"/>
  <c r="E24" i="23"/>
  <c r="E42" i="23"/>
  <c r="E43" i="23"/>
  <c r="E46" i="23"/>
  <c r="E23" i="23"/>
  <c r="B10" i="19"/>
  <c r="C11" i="23"/>
  <c r="L8" i="24" l="1"/>
  <c r="J7" i="24"/>
  <c r="J12" i="24" s="1"/>
  <c r="J15" i="24"/>
  <c r="J18" i="24" s="1"/>
  <c r="I12" i="24"/>
  <c r="F12" i="22"/>
  <c r="G12" i="22"/>
  <c r="L12" i="22"/>
  <c r="M12" i="22" s="1"/>
  <c r="F14" i="22"/>
  <c r="J14" i="22"/>
  <c r="L14" i="22"/>
  <c r="M14" i="22" s="1"/>
  <c r="F10" i="22"/>
  <c r="G10" i="22"/>
  <c r="B102" i="16"/>
  <c r="F43" i="22"/>
  <c r="L10" i="22"/>
  <c r="M10" i="22" s="1"/>
  <c r="G43" i="22"/>
  <c r="I18" i="24"/>
  <c r="E31" i="11"/>
  <c r="E42" i="11" s="1"/>
  <c r="L11" i="22"/>
  <c r="F11" i="22"/>
  <c r="L43" i="22"/>
  <c r="M43" i="22" s="1"/>
  <c r="M39" i="22"/>
  <c r="F143" i="11"/>
  <c r="J11" i="22"/>
  <c r="L13" i="22"/>
  <c r="F13" i="22"/>
  <c r="J13" i="22"/>
  <c r="M29" i="22"/>
  <c r="F25" i="22"/>
  <c r="L16" i="22"/>
  <c r="F16" i="22"/>
  <c r="L25" i="22"/>
  <c r="M25" i="22" s="1"/>
  <c r="J16" i="22"/>
  <c r="G25" i="22"/>
  <c r="J22" i="22"/>
  <c r="D47" i="22"/>
  <c r="C30" i="23" s="1"/>
  <c r="E30" i="23" s="1"/>
  <c r="E69" i="11"/>
  <c r="M33" i="22"/>
  <c r="L15" i="22"/>
  <c r="F22" i="22"/>
  <c r="M31" i="22"/>
  <c r="L22" i="22"/>
  <c r="M41" i="22"/>
  <c r="J18" i="22"/>
  <c r="F18" i="22"/>
  <c r="G18" i="22"/>
  <c r="L18" i="22"/>
  <c r="J19" i="22"/>
  <c r="F19" i="22"/>
  <c r="L19" i="22"/>
  <c r="G19" i="22"/>
  <c r="M37" i="22"/>
  <c r="G23" i="22"/>
  <c r="J23" i="22"/>
  <c r="F23" i="22"/>
  <c r="L23" i="22"/>
  <c r="F36" i="22"/>
  <c r="J36" i="22"/>
  <c r="G36" i="22"/>
  <c r="L36" i="22"/>
  <c r="K36" i="22"/>
  <c r="K47" i="22" s="1"/>
  <c r="I36" i="22"/>
  <c r="I47" i="22" s="1"/>
  <c r="J15" i="22"/>
  <c r="G15" i="22"/>
  <c r="M30" i="22"/>
  <c r="B47" i="22"/>
  <c r="M28" i="22"/>
  <c r="B83" i="19"/>
  <c r="C45" i="23"/>
  <c r="E11" i="23"/>
  <c r="B29" i="21"/>
  <c r="B55" i="21" s="1"/>
  <c r="C55" i="23" s="1"/>
  <c r="E55" i="23" s="1"/>
  <c r="I21" i="24" l="1"/>
  <c r="L15" i="24"/>
  <c r="J21" i="24"/>
  <c r="L7" i="24"/>
  <c r="M11" i="22"/>
  <c r="E143" i="11"/>
  <c r="M16" i="22"/>
  <c r="M13" i="22"/>
  <c r="M22" i="22"/>
  <c r="M15" i="22"/>
  <c r="J47" i="22"/>
  <c r="G47" i="22"/>
  <c r="L47" i="22"/>
  <c r="F47" i="22"/>
  <c r="M19" i="22"/>
  <c r="M36" i="22"/>
  <c r="M18" i="22"/>
  <c r="M23" i="22"/>
  <c r="E45" i="23"/>
  <c r="B77" i="18" l="1"/>
  <c r="B79" i="18" s="1"/>
  <c r="L18" i="24"/>
  <c r="L12" i="24"/>
  <c r="C16" i="23"/>
  <c r="C31" i="23"/>
  <c r="C32" i="23"/>
  <c r="E32" i="23" s="1"/>
  <c r="M47" i="22"/>
  <c r="C41" i="23" l="1"/>
  <c r="E41" i="23" s="1"/>
  <c r="B82" i="18"/>
  <c r="L21" i="24"/>
  <c r="E16" i="23"/>
  <c r="E19" i="23" s="1"/>
  <c r="E26" i="23" s="1"/>
  <c r="C19" i="23"/>
  <c r="C26" i="23" s="1"/>
  <c r="E31" i="23"/>
  <c r="C57" i="23" l="1"/>
  <c r="C59" i="23" s="1"/>
  <c r="C63" i="23" s="1"/>
  <c r="E57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Dunn</author>
  </authors>
  <commentList>
    <comment ref="B5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Dunn:</t>
        </r>
        <r>
          <rPr>
            <sz val="9"/>
            <color indexed="81"/>
            <rFont val="Tahoma"/>
            <family val="2"/>
          </rPr>
          <t xml:space="preserve">
Medical - Average $475/mo - employee contributes 15%
Dental $26.98/mo
Vision $4.66/mo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Dunn</author>
  </authors>
  <commentList>
    <comment ref="B6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Michael Dunn:</t>
        </r>
        <r>
          <rPr>
            <sz val="9"/>
            <color indexed="81"/>
            <rFont val="Tahoma"/>
            <family val="2"/>
          </rPr>
          <t xml:space="preserve">
Audit $11,500
990 $1,500
BESE $3,500
Added 10% increase</t>
        </r>
      </text>
    </comment>
  </commentList>
</comments>
</file>

<file path=xl/sharedStrings.xml><?xml version="1.0" encoding="utf-8"?>
<sst xmlns="http://schemas.openxmlformats.org/spreadsheetml/2006/main" count="623" uniqueCount="414">
  <si>
    <t>Food Service</t>
  </si>
  <si>
    <t>Salaries</t>
  </si>
  <si>
    <t>Aides</t>
  </si>
  <si>
    <t>Textbooks/Workbooks</t>
  </si>
  <si>
    <t>Equipment</t>
  </si>
  <si>
    <t>Medicare</t>
  </si>
  <si>
    <t>Rental of Equipment and Vehicles</t>
  </si>
  <si>
    <t>Teachers</t>
  </si>
  <si>
    <t>Legal Services</t>
  </si>
  <si>
    <t>Advertising</t>
  </si>
  <si>
    <t>Postage</t>
  </si>
  <si>
    <t>Property Insurance</t>
  </si>
  <si>
    <t>Telephone</t>
  </si>
  <si>
    <t>Purchased Property Services</t>
  </si>
  <si>
    <t>Total</t>
  </si>
  <si>
    <t>Insurance</t>
  </si>
  <si>
    <t>Grade K</t>
  </si>
  <si>
    <t>Grade 1</t>
  </si>
  <si>
    <t>Staffing</t>
  </si>
  <si>
    <t>Grade 2</t>
  </si>
  <si>
    <t>Grade 3</t>
  </si>
  <si>
    <t>Grade 4</t>
  </si>
  <si>
    <t>Grade 5</t>
  </si>
  <si>
    <t>Regular Education Programs</t>
  </si>
  <si>
    <t>Grade 6</t>
  </si>
  <si>
    <t>Grade 7</t>
  </si>
  <si>
    <t>Employee</t>
  </si>
  <si>
    <t>Grade</t>
  </si>
  <si>
    <t>Position</t>
  </si>
  <si>
    <t>Salary</t>
  </si>
  <si>
    <t>Wages</t>
  </si>
  <si>
    <t>FTE</t>
  </si>
  <si>
    <t>Grade 8</t>
  </si>
  <si>
    <t>Total Enrollment</t>
  </si>
  <si>
    <t>Middle School</t>
  </si>
  <si>
    <t>Para Educator 2</t>
  </si>
  <si>
    <t>Total Regular Education Programs</t>
  </si>
  <si>
    <t>Special Education Programs</t>
  </si>
  <si>
    <t>Aides/Interventionists</t>
  </si>
  <si>
    <t>Total Special Education Programs</t>
  </si>
  <si>
    <t>Other Instructional Programs</t>
  </si>
  <si>
    <t>Total Other Instructional Programs</t>
  </si>
  <si>
    <t>Pupil Support Services</t>
  </si>
  <si>
    <t>Total Pupil Support Services</t>
  </si>
  <si>
    <t>Instructional Staff Services</t>
  </si>
  <si>
    <t>*0.5 AP (Yr 1-3)</t>
  </si>
  <si>
    <t>Total Instructional Staff Services</t>
  </si>
  <si>
    <t>General Administrative Services</t>
  </si>
  <si>
    <t>*0.5 Data Manager</t>
  </si>
  <si>
    <t>Total General Administrative Services</t>
  </si>
  <si>
    <t>School Administration Services</t>
  </si>
  <si>
    <t>School Leader</t>
  </si>
  <si>
    <t>*0.5 Testing Coord (Yr 1-3)</t>
  </si>
  <si>
    <t>Total School Administration Services</t>
  </si>
  <si>
    <t>Business Services</t>
  </si>
  <si>
    <t>Total Business Services</t>
  </si>
  <si>
    <t xml:space="preserve">Operation &amp; Maintenance </t>
  </si>
  <si>
    <t>Total Operation &amp; Maintenance</t>
  </si>
  <si>
    <t>Grand Totals</t>
  </si>
  <si>
    <t>Enrollment</t>
  </si>
  <si>
    <t>School Days</t>
  </si>
  <si>
    <t>Revenue Assumptions:</t>
  </si>
  <si>
    <t>Benefits:</t>
  </si>
  <si>
    <t>Group Insurance/employee</t>
  </si>
  <si>
    <t>Social Security Rate</t>
  </si>
  <si>
    <t>Medicare Rate</t>
  </si>
  <si>
    <t>Retirement Contributions Rate</t>
  </si>
  <si>
    <t>Unemployment Compensation Rate</t>
  </si>
  <si>
    <t>Workers Compensation Rate</t>
  </si>
  <si>
    <t>Busing:</t>
  </si>
  <si>
    <t># of bus routes</t>
  </si>
  <si>
    <t>Title I revenue</t>
  </si>
  <si>
    <t>Title II revenue</t>
  </si>
  <si>
    <t>IDEA B revenue</t>
  </si>
  <si>
    <t>Materials &amp; Supplies</t>
  </si>
  <si>
    <t>Substitutes</t>
  </si>
  <si>
    <t>Employee Benefits</t>
  </si>
  <si>
    <t>Instructional</t>
  </si>
  <si>
    <t>Totals</t>
  </si>
  <si>
    <t>Admin</t>
  </si>
  <si>
    <t xml:space="preserve">    </t>
  </si>
  <si>
    <t>Professional Services</t>
  </si>
  <si>
    <t>Regular Education Programs:</t>
  </si>
  <si>
    <t>Special Education Programs:</t>
  </si>
  <si>
    <t>Other Instructional Programs:</t>
  </si>
  <si>
    <t>Pupil Support Services:</t>
  </si>
  <si>
    <t>Instructional Staff Services:</t>
  </si>
  <si>
    <t>Board of Directors:</t>
  </si>
  <si>
    <t>School Administration:</t>
  </si>
  <si>
    <t>Business Services:</t>
  </si>
  <si>
    <t>Total Professional Services</t>
  </si>
  <si>
    <t>Property Services</t>
  </si>
  <si>
    <t>Repairs &amp; Maintenance Services</t>
  </si>
  <si>
    <t>Operation of Plant:</t>
  </si>
  <si>
    <t>Building Expenses:</t>
  </si>
  <si>
    <t>Care &amp; Upkeep of Grounds</t>
  </si>
  <si>
    <t>Food Services Operations</t>
  </si>
  <si>
    <t>Total Property Services</t>
  </si>
  <si>
    <t xml:space="preserve">Water/Sewage </t>
  </si>
  <si>
    <t>Other Services</t>
  </si>
  <si>
    <t>Travel reimbursement</t>
  </si>
  <si>
    <t>Telephone &amp; Postage</t>
  </si>
  <si>
    <t>Student Transportation:</t>
  </si>
  <si>
    <t>SFA fee</t>
  </si>
  <si>
    <t>Contracted Food Service</t>
  </si>
  <si>
    <t>Natural Gas &amp; Electricity</t>
  </si>
  <si>
    <t>Total Materials &amp; Supplies</t>
  </si>
  <si>
    <t>Electricity</t>
  </si>
  <si>
    <t>Natural Gas</t>
  </si>
  <si>
    <t>Miscellaneous Expenses</t>
  </si>
  <si>
    <t>Operation of Plant</t>
  </si>
  <si>
    <t>Total Miscellaneous</t>
  </si>
  <si>
    <t>Operations &amp; Plant</t>
  </si>
  <si>
    <t>Total Other Services</t>
  </si>
  <si>
    <t>Miscellaneous Exp</t>
  </si>
  <si>
    <t>Regular rate per route per day</t>
  </si>
  <si>
    <t>SPED rate per route per day</t>
  </si>
  <si>
    <t>MFP revenue/student (state)</t>
  </si>
  <si>
    <t>MFP revenue/student (local)</t>
  </si>
  <si>
    <t>Miscellaneous Revenue: Projected</t>
  </si>
  <si>
    <t>Board Fundraising</t>
  </si>
  <si>
    <t>Family Fundraisers</t>
  </si>
  <si>
    <t>Foundations</t>
  </si>
  <si>
    <t>Total Contributions Anticipated</t>
  </si>
  <si>
    <t>Classroom - K</t>
  </si>
  <si>
    <t>Classroom - 1st</t>
  </si>
  <si>
    <t>Classroom - 2nd</t>
  </si>
  <si>
    <t>Classroom - 3rd</t>
  </si>
  <si>
    <t>Classroom - 4th</t>
  </si>
  <si>
    <t>7 days/teacher</t>
  </si>
  <si>
    <t>Classroom Teachers</t>
  </si>
  <si>
    <t>Tangi Academy</t>
  </si>
  <si>
    <t>Building Expenses</t>
  </si>
  <si>
    <t>MFP Admin. Fees @ .25%</t>
  </si>
  <si>
    <t>Total Misc Revenue</t>
  </si>
  <si>
    <t>TOTAL TEACHERS</t>
  </si>
  <si>
    <t>TOTAL AIDES</t>
  </si>
  <si>
    <t>TOTAL SUBS</t>
  </si>
  <si>
    <t>TOTAL SpEd TEACHERS</t>
  </si>
  <si>
    <t>TOTAL SpEd AIDES</t>
  </si>
  <si>
    <t>Other Miscellaneous Revenues - Meals</t>
  </si>
  <si>
    <t>In-Kind/Write Offs</t>
  </si>
  <si>
    <t>MS - Math/Science</t>
  </si>
  <si>
    <t>Instructional Coach</t>
  </si>
  <si>
    <t>Staffing &amp; Employee Benefit Summary</t>
  </si>
  <si>
    <t>Benefits</t>
  </si>
  <si>
    <t>Payroll Taxes</t>
  </si>
  <si>
    <t>Workers</t>
  </si>
  <si>
    <t>FTEs</t>
  </si>
  <si>
    <t>Soc. Sec.</t>
  </si>
  <si>
    <t>Medical</t>
  </si>
  <si>
    <t>Retirement</t>
  </si>
  <si>
    <t>SUI</t>
  </si>
  <si>
    <t>Comp</t>
  </si>
  <si>
    <t xml:space="preserve">     Teachers - grade K</t>
  </si>
  <si>
    <t xml:space="preserve">     Paras</t>
  </si>
  <si>
    <t xml:space="preserve">     Teachers</t>
  </si>
  <si>
    <t>Pupil Support Programs</t>
  </si>
  <si>
    <t>School Administration</t>
  </si>
  <si>
    <t>Operations &amp; Maintenance</t>
  </si>
  <si>
    <t>Revenue &amp; Expense Summary</t>
  </si>
  <si>
    <t>Projected Enrollment</t>
  </si>
  <si>
    <t>Annual</t>
  </si>
  <si>
    <t>Per</t>
  </si>
  <si>
    <t>Budget</t>
  </si>
  <si>
    <t>Student</t>
  </si>
  <si>
    <t>Revenue:</t>
  </si>
  <si>
    <t>MFP revenue</t>
  </si>
  <si>
    <t>Food revenue - federal</t>
  </si>
  <si>
    <t>Total Federal &amp; State Revenue</t>
  </si>
  <si>
    <t>Private Contributions</t>
  </si>
  <si>
    <t>Other Revenue</t>
  </si>
  <si>
    <t>Other revenue</t>
  </si>
  <si>
    <t>Total Revenue</t>
  </si>
  <si>
    <t>Expenses:</t>
  </si>
  <si>
    <t>Payroll taxes</t>
  </si>
  <si>
    <t>Other employee benefits</t>
  </si>
  <si>
    <t>Purchased professional services</t>
  </si>
  <si>
    <t>Utilities</t>
  </si>
  <si>
    <t>Student Transportation</t>
  </si>
  <si>
    <t>Other purchased services</t>
  </si>
  <si>
    <t>Textbooks/workbooks</t>
  </si>
  <si>
    <t>Miscellaneous</t>
  </si>
  <si>
    <t>Total Expenses</t>
  </si>
  <si>
    <t xml:space="preserve">     Teachers - 1st grade</t>
  </si>
  <si>
    <t xml:space="preserve">     Teachers - 2nd grade</t>
  </si>
  <si>
    <t xml:space="preserve">     Teachers - 3rd grade</t>
  </si>
  <si>
    <t xml:space="preserve">     Teachers - 4th grade</t>
  </si>
  <si>
    <t xml:space="preserve">     Teachers - ELA/SS/Math/Science</t>
  </si>
  <si>
    <t xml:space="preserve">     Substitutes</t>
  </si>
  <si>
    <t>Other Instructional Programs (teaching artists)</t>
  </si>
  <si>
    <t xml:space="preserve">     Nurse</t>
  </si>
  <si>
    <t xml:space="preserve">     Academic Counselor/Testing/ 504/SAT</t>
  </si>
  <si>
    <t xml:space="preserve">     School Leader</t>
  </si>
  <si>
    <t>Paid meals</t>
  </si>
  <si>
    <t>Operations &amp; Maintenance:</t>
  </si>
  <si>
    <t>Operational</t>
  </si>
  <si>
    <t>Facility Expenses</t>
  </si>
  <si>
    <t>Materials &amp; supplies</t>
  </si>
  <si>
    <t>Food services</t>
  </si>
  <si>
    <t>Interest expense</t>
  </si>
  <si>
    <t>Lines of credit</t>
  </si>
  <si>
    <t>Adminstrative Assistant</t>
  </si>
  <si>
    <t>Visual Art</t>
  </si>
  <si>
    <t>Paychex</t>
  </si>
  <si>
    <t>Total Equipment</t>
  </si>
  <si>
    <t>Calvarly Church - retro-fit space</t>
  </si>
  <si>
    <t>Para Educator</t>
  </si>
  <si>
    <t>Marketing</t>
  </si>
  <si>
    <t xml:space="preserve">Other miscellaneous  </t>
  </si>
  <si>
    <t>Students</t>
  </si>
  <si>
    <t>%</t>
  </si>
  <si>
    <t>Students Participating</t>
  </si>
  <si>
    <t>Breakfast</t>
  </si>
  <si>
    <t>Lunch</t>
  </si>
  <si>
    <t>CNP (free)</t>
  </si>
  <si>
    <t>CNP (reduced)</t>
  </si>
  <si>
    <t>Total food service revenue</t>
  </si>
  <si>
    <t>SFA costs</t>
  </si>
  <si>
    <t>Total food service costs</t>
  </si>
  <si>
    <t>Surplus (Deficit)</t>
  </si>
  <si>
    <t>Federal food revenue per student per day (free):</t>
  </si>
  <si>
    <t>Federal food revenue per student per day (reduced):</t>
  </si>
  <si>
    <t>Cost per student per day:</t>
  </si>
  <si>
    <t>Tangi - Food Service Program</t>
  </si>
  <si>
    <t>Food service costs - Rev Foods - food program</t>
  </si>
  <si>
    <t>Vendor ID</t>
  </si>
  <si>
    <t>Vendor Name</t>
  </si>
  <si>
    <t>Deferred Bal</t>
  </si>
  <si>
    <t xml:space="preserve"> </t>
  </si>
  <si>
    <t>Total ACAD01</t>
  </si>
  <si>
    <t>Academic Resource Solutions</t>
  </si>
  <si>
    <t>Total AMP01</t>
  </si>
  <si>
    <t>Amplify Education</t>
  </si>
  <si>
    <t>Total CARO01</t>
  </si>
  <si>
    <t>Carolina Biological Supply Company</t>
  </si>
  <si>
    <t>Total PRGS01</t>
  </si>
  <si>
    <t>Progressus Therapy</t>
  </si>
  <si>
    <t>Total SCHU01</t>
  </si>
  <si>
    <t>Schulman, Lopez, Hoffer &amp; Adelstein</t>
  </si>
  <si>
    <t xml:space="preserve">Report Total </t>
  </si>
  <si>
    <t>Operating Surplus/(Deficit) before payment of deferred vendor payments</t>
  </si>
  <si>
    <t>FY 2017-18 Budget</t>
  </si>
  <si>
    <t>FY 2017-2018</t>
  </si>
  <si>
    <t>2017-2018 Budget</t>
  </si>
  <si>
    <t>Budget Assumptions</t>
  </si>
  <si>
    <t>2017-18</t>
  </si>
  <si>
    <t>Laura Tallo</t>
  </si>
  <si>
    <t>George Williams</t>
  </si>
  <si>
    <t>Jacqueline Wilson</t>
  </si>
  <si>
    <t>Chief Academic Officer</t>
  </si>
  <si>
    <t>Pamela Prescott</t>
  </si>
  <si>
    <t>Nicole Williams</t>
  </si>
  <si>
    <t>CFO</t>
  </si>
  <si>
    <t>Classroom - 5th, 6th - Math</t>
  </si>
  <si>
    <t>Cedric Turner</t>
  </si>
  <si>
    <t>Classroom - 5th, 6th - ELA/Reading</t>
  </si>
  <si>
    <t>Michele Savior</t>
  </si>
  <si>
    <t>Cheryl Westmoreland</t>
  </si>
  <si>
    <t>Marianela Bacheman</t>
  </si>
  <si>
    <t>Rebekah Bush</t>
  </si>
  <si>
    <t>Elizabeth Guthez</t>
  </si>
  <si>
    <t>Brenda Johnson</t>
  </si>
  <si>
    <t>Angela Laborde</t>
  </si>
  <si>
    <t>Courtney Mahler</t>
  </si>
  <si>
    <t>Reading Interventionist</t>
  </si>
  <si>
    <t>Kelly Perry</t>
  </si>
  <si>
    <t>Kristen Polk</t>
  </si>
  <si>
    <t>SpEd Teacher</t>
  </si>
  <si>
    <t>Tiffanie Richie</t>
  </si>
  <si>
    <t>Ryneisha Taylor</t>
  </si>
  <si>
    <t>Digital Arts</t>
  </si>
  <si>
    <t>TBD</t>
  </si>
  <si>
    <t>MS - ELA/Reading</t>
  </si>
  <si>
    <t xml:space="preserve">     Teachers - 5th/6th grade</t>
  </si>
  <si>
    <t xml:space="preserve">     Teachers - Interventionists</t>
  </si>
  <si>
    <t xml:space="preserve">     Counselor</t>
  </si>
  <si>
    <t xml:space="preserve">     Chief Academic Officer</t>
  </si>
  <si>
    <t xml:space="preserve">     Adminstrative Assistant</t>
  </si>
  <si>
    <t>Professional development</t>
  </si>
  <si>
    <t>Audit Services - Carr Riggs Ingram</t>
  </si>
  <si>
    <t>Background checks</t>
  </si>
  <si>
    <t>Alarm monitoring</t>
  </si>
  <si>
    <t>ICT - broadband</t>
  </si>
  <si>
    <t>Hunt Telecomm</t>
  </si>
  <si>
    <t>Gulf Coast Office - copiers</t>
  </si>
  <si>
    <t>Disposal Services - Progressive Waste</t>
  </si>
  <si>
    <t>Custodial Services - Jani King</t>
  </si>
  <si>
    <t>Rent - Trinity Properties</t>
  </si>
  <si>
    <t>Contracted transportation - C&amp;T Transportation</t>
  </si>
  <si>
    <t>Office furniture/equipment</t>
  </si>
  <si>
    <t>Payment of deferred expenses from FY16-17</t>
  </si>
  <si>
    <t>Para Educator 3</t>
  </si>
  <si>
    <t>School Psychologist</t>
  </si>
  <si>
    <t>Handle wirth Care</t>
  </si>
  <si>
    <t>Keegan</t>
  </si>
  <si>
    <t>Center for Restorative Approach</t>
  </si>
  <si>
    <t>Varga - digital program</t>
  </si>
  <si>
    <t>Arts integration webinar</t>
  </si>
  <si>
    <t>ICT - network support</t>
  </si>
  <si>
    <t>Includes summer deep cleaning</t>
  </si>
  <si>
    <t>Additional classroom fit-out</t>
  </si>
  <si>
    <t>More AC units</t>
  </si>
  <si>
    <t>Monthly repairs &amp; maintenance</t>
  </si>
  <si>
    <t>Arts programs</t>
  </si>
  <si>
    <t>Smart TVs (8)</t>
  </si>
  <si>
    <t>Projector</t>
  </si>
  <si>
    <t>Security cameras</t>
  </si>
  <si>
    <t>Erate consultant</t>
  </si>
  <si>
    <t>Cafeteria tables</t>
  </si>
  <si>
    <t>Staff computers</t>
  </si>
  <si>
    <t>Desktop printers</t>
  </si>
  <si>
    <t>Cell phones - admin</t>
  </si>
  <si>
    <t>PA system</t>
  </si>
  <si>
    <t>Assumes two buses</t>
  </si>
  <si>
    <t>Field trips, other</t>
  </si>
  <si>
    <t>Paychex - Stratus time</t>
  </si>
  <si>
    <t>Paychex - 401K services</t>
  </si>
  <si>
    <t>Southeast Community Health - nurse</t>
  </si>
  <si>
    <t>Sadlier - math</t>
  </si>
  <si>
    <t>Sadlier - ELA</t>
  </si>
  <si>
    <t>Reading</t>
  </si>
  <si>
    <t>Classroom furniture (BizChair)</t>
  </si>
  <si>
    <t>Speech Language  (contractor)</t>
  </si>
  <si>
    <t>$50/hour; 18 hours/week</t>
  </si>
  <si>
    <t>Homebound teacher (contractor)</t>
  </si>
  <si>
    <t>$50/hour; 5 hours/week</t>
  </si>
  <si>
    <t>OT (contractor)</t>
  </si>
  <si>
    <t>Counselor</t>
  </si>
  <si>
    <t>Medicaid service cost - 10% of Medicaid revenue</t>
  </si>
  <si>
    <t>MS - PE/Health</t>
  </si>
  <si>
    <t>$40/hour; 6 hours/week</t>
  </si>
  <si>
    <t>Foreign language/social studies software (Edmentum)</t>
  </si>
  <si>
    <t>Library software</t>
  </si>
  <si>
    <t>Wilcock Johnson - evaluation software</t>
  </si>
  <si>
    <t>Lawn care - Woodall</t>
  </si>
  <si>
    <t>Karen Thibodeaux</t>
  </si>
  <si>
    <t>EdGear - JPAMS student information system</t>
  </si>
  <si>
    <t>EdGear - Student Progress Center</t>
  </si>
  <si>
    <t>EdGear - JCALL</t>
  </si>
  <si>
    <t>EdGear - implementation services</t>
  </si>
  <si>
    <t>Medicaid revenue</t>
  </si>
  <si>
    <t>Package policy</t>
  </si>
  <si>
    <t>Auto</t>
  </si>
  <si>
    <t>Executive liability</t>
  </si>
  <si>
    <t>Excess liability</t>
  </si>
  <si>
    <t>Student accident</t>
  </si>
  <si>
    <t>Cyber</t>
  </si>
  <si>
    <t>desks/chairs</t>
  </si>
  <si>
    <t>Dues</t>
  </si>
  <si>
    <t>Kristen Curtis</t>
  </si>
  <si>
    <t>Trent Hebert</t>
  </si>
  <si>
    <t>Andrea Roach</t>
  </si>
  <si>
    <t>Candace Whigman</t>
  </si>
  <si>
    <t>Wil Williams</t>
  </si>
  <si>
    <t>Eric Kaftan</t>
  </si>
  <si>
    <t>3% match; 50% participation</t>
  </si>
  <si>
    <t xml:space="preserve">Assessment tools </t>
  </si>
  <si>
    <t>$50/hour; 15 hours/week</t>
  </si>
  <si>
    <t>Dunn Financial</t>
  </si>
  <si>
    <t>Director of Operations /Communication</t>
  </si>
  <si>
    <t xml:space="preserve">     Director of Operations /Communication</t>
  </si>
  <si>
    <t>PE/Health</t>
  </si>
  <si>
    <t>300-1210</t>
  </si>
  <si>
    <t>300-2150</t>
  </si>
  <si>
    <t>300-2160</t>
  </si>
  <si>
    <t>300-2140</t>
  </si>
  <si>
    <t>300-2110</t>
  </si>
  <si>
    <t>300-2130</t>
  </si>
  <si>
    <t>300-2211</t>
  </si>
  <si>
    <t>332-2310</t>
  </si>
  <si>
    <t>333-2310</t>
  </si>
  <si>
    <t>540-2310</t>
  </si>
  <si>
    <t>300-2400</t>
  </si>
  <si>
    <t>339-2830</t>
  </si>
  <si>
    <t>300-2510</t>
  </si>
  <si>
    <t>442-2400</t>
  </si>
  <si>
    <t>411-2620</t>
  </si>
  <si>
    <t>441-2620</t>
  </si>
  <si>
    <t>421-2620</t>
  </si>
  <si>
    <t>423-2620</t>
  </si>
  <si>
    <t>700-2620</t>
  </si>
  <si>
    <t>430-2620</t>
  </si>
  <si>
    <t>424-2630</t>
  </si>
  <si>
    <t>521-2310</t>
  </si>
  <si>
    <t>530-2400</t>
  </si>
  <si>
    <t>530-2510</t>
  </si>
  <si>
    <t>522-2620</t>
  </si>
  <si>
    <t>642-1100</t>
  </si>
  <si>
    <t>610-1100</t>
  </si>
  <si>
    <t>610-1210</t>
  </si>
  <si>
    <t>610-1490</t>
  </si>
  <si>
    <t>610-2400</t>
  </si>
  <si>
    <t>610-2620</t>
  </si>
  <si>
    <t>622-2620</t>
  </si>
  <si>
    <t>Fire alarms &amp; panels</t>
  </si>
  <si>
    <t>Additional renovation work per fire marshall</t>
  </si>
  <si>
    <t>New teacher</t>
  </si>
  <si>
    <t>SpEd Teacher - start 11/1/17</t>
  </si>
  <si>
    <t>SPED Director - leaving 11/1/17</t>
  </si>
  <si>
    <t>New SPED para</t>
  </si>
  <si>
    <t>Christopher Parker - data mgmt</t>
  </si>
  <si>
    <t>Lunch monitor</t>
  </si>
  <si>
    <t>Legal settlement - Reno</t>
  </si>
  <si>
    <t>Professional development - school admin</t>
  </si>
  <si>
    <t xml:space="preserve">     Lunch Monitor</t>
  </si>
  <si>
    <t>Title IV revenue</t>
  </si>
  <si>
    <t>Title IV</t>
  </si>
  <si>
    <t>Student Computers</t>
  </si>
  <si>
    <t>Smith</t>
  </si>
  <si>
    <t>Net Operating Surplus/(Deficit)</t>
  </si>
  <si>
    <t>TeqLease</t>
  </si>
  <si>
    <t>Real estate taxes - Trinity Properties</t>
  </si>
  <si>
    <t>Santa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</si>
</sst>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&quot;$&quot;#,##0.00"/>
    <numFmt numFmtId="169" formatCode="_-&quot;$&quot;* #,##0.00_-;\-&quot;$&quot;* #,##0.00_-;_-&quot;$&quot;* &quot;-&quot;??_-;_-@_-"/>
    <numFmt numFmtId="170" formatCode="0.00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u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8"/>
      <color theme="1"/>
      <name val="Tahoma"/>
      <family val="2"/>
    </font>
    <font>
      <u val="singleAccounting"/>
      <sz val="8"/>
      <color theme="1"/>
      <name val="Tahoma"/>
      <family val="2"/>
    </font>
    <font>
      <u val="doubleAccounting"/>
      <sz val="8"/>
      <color theme="1"/>
      <name val="Tahoma"/>
      <family val="2"/>
    </font>
    <font>
      <b/>
      <u val="doubleAccounting"/>
      <sz val="8"/>
      <color theme="1"/>
      <name val="Tahoma"/>
      <family val="2"/>
    </font>
    <font>
      <b/>
      <u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" fillId="0" borderId="0"/>
    <xf numFmtId="0" fontId="19" fillId="0" borderId="0"/>
    <xf numFmtId="0" fontId="19" fillId="0" borderId="0"/>
    <xf numFmtId="0" fontId="3" fillId="0" borderId="0"/>
    <xf numFmtId="0" fontId="14" fillId="0" borderId="0"/>
    <xf numFmtId="0" fontId="3" fillId="0" borderId="0"/>
    <xf numFmtId="0" fontId="20" fillId="0" borderId="0"/>
    <xf numFmtId="0" fontId="17" fillId="0" borderId="0"/>
    <xf numFmtId="0" fontId="18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79">
    <xf numFmtId="0" fontId="0" fillId="0" borderId="0" xfId="0"/>
    <xf numFmtId="0" fontId="6" fillId="0" borderId="0" xfId="0" applyFont="1"/>
    <xf numFmtId="0" fontId="6" fillId="0" borderId="1" xfId="0" applyFont="1" applyBorder="1"/>
    <xf numFmtId="0" fontId="23" fillId="0" borderId="0" xfId="14" applyFont="1" applyFill="1"/>
    <xf numFmtId="0" fontId="6" fillId="2" borderId="0" xfId="16" applyFont="1" applyFill="1"/>
    <xf numFmtId="167" fontId="6" fillId="2" borderId="0" xfId="6" applyNumberFormat="1" applyFont="1" applyFill="1"/>
    <xf numFmtId="0" fontId="24" fillId="0" borderId="0" xfId="14" applyFont="1" applyFill="1"/>
    <xf numFmtId="0" fontId="6" fillId="3" borderId="0" xfId="16" applyFont="1" applyFill="1"/>
    <xf numFmtId="167" fontId="6" fillId="3" borderId="0" xfId="6" applyNumberFormat="1" applyFont="1" applyFill="1"/>
    <xf numFmtId="0" fontId="25" fillId="0" borderId="0" xfId="14" applyFont="1" applyFill="1"/>
    <xf numFmtId="0" fontId="25" fillId="0" borderId="0" xfId="14" applyFont="1" applyFill="1" applyAlignment="1">
      <alignment horizontal="center"/>
    </xf>
    <xf numFmtId="0" fontId="5" fillId="0" borderId="0" xfId="16" applyFont="1"/>
    <xf numFmtId="167" fontId="6" fillId="0" borderId="2" xfId="6" applyNumberFormat="1" applyFont="1" applyBorder="1"/>
    <xf numFmtId="0" fontId="23" fillId="0" borderId="0" xfId="14" applyFont="1" applyFill="1" applyAlignment="1">
      <alignment horizontal="left"/>
    </xf>
    <xf numFmtId="0" fontId="23" fillId="0" borderId="0" xfId="14" quotePrefix="1" applyFont="1" applyFill="1"/>
    <xf numFmtId="43" fontId="23" fillId="0" borderId="0" xfId="3" applyFont="1" applyFill="1" applyBorder="1"/>
    <xf numFmtId="0" fontId="4" fillId="0" borderId="0" xfId="16" applyFont="1"/>
    <xf numFmtId="0" fontId="3" fillId="0" borderId="0" xfId="16"/>
    <xf numFmtId="0" fontId="4" fillId="0" borderId="0" xfId="16" applyFont="1" applyAlignment="1">
      <alignment horizontal="center"/>
    </xf>
    <xf numFmtId="0" fontId="6" fillId="0" borderId="0" xfId="16" applyFont="1"/>
    <xf numFmtId="0" fontId="6" fillId="4" borderId="0" xfId="16" applyFont="1" applyFill="1"/>
    <xf numFmtId="167" fontId="6" fillId="4" borderId="0" xfId="6" applyNumberFormat="1" applyFont="1" applyFill="1"/>
    <xf numFmtId="0" fontId="6" fillId="0" borderId="0" xfId="16" applyFont="1" applyFill="1"/>
    <xf numFmtId="167" fontId="3" fillId="0" borderId="0" xfId="16" applyNumberFormat="1"/>
    <xf numFmtId="164" fontId="6" fillId="0" borderId="0" xfId="10" applyNumberFormat="1" applyFont="1"/>
    <xf numFmtId="164" fontId="6" fillId="0" borderId="0" xfId="10" applyNumberFormat="1" applyFont="1" applyFill="1"/>
    <xf numFmtId="0" fontId="8" fillId="0" borderId="0" xfId="16" applyFont="1"/>
    <xf numFmtId="164" fontId="6" fillId="0" borderId="3" xfId="10" applyNumberFormat="1" applyFont="1" applyBorder="1"/>
    <xf numFmtId="164" fontId="6" fillId="0" borderId="0" xfId="10" applyNumberFormat="1" applyFont="1" applyBorder="1"/>
    <xf numFmtId="10" fontId="6" fillId="0" borderId="0" xfId="16" applyNumberFormat="1" applyFont="1"/>
    <xf numFmtId="0" fontId="9" fillId="0" borderId="0" xfId="16" applyFont="1"/>
    <xf numFmtId="0" fontId="10" fillId="0" borderId="0" xfId="0" applyFont="1"/>
    <xf numFmtId="164" fontId="6" fillId="0" borderId="0" xfId="9" applyNumberFormat="1" applyFont="1"/>
    <xf numFmtId="0" fontId="13" fillId="0" borderId="0" xfId="13" applyFont="1" applyBorder="1"/>
    <xf numFmtId="0" fontId="7" fillId="0" borderId="0" xfId="13" applyBorder="1"/>
    <xf numFmtId="0" fontId="10" fillId="0" borderId="0" xfId="13" applyFont="1" applyBorder="1"/>
    <xf numFmtId="167" fontId="10" fillId="0" borderId="0" xfId="2" applyNumberFormat="1" applyFont="1" applyBorder="1"/>
    <xf numFmtId="0" fontId="11" fillId="0" borderId="0" xfId="13" applyFont="1" applyBorder="1"/>
    <xf numFmtId="167" fontId="9" fillId="0" borderId="0" xfId="2" applyNumberFormat="1" applyFont="1" applyBorder="1" applyAlignment="1">
      <alignment horizontal="center"/>
    </xf>
    <xf numFmtId="0" fontId="10" fillId="0" borderId="0" xfId="13" applyFont="1" applyFill="1" applyBorder="1"/>
    <xf numFmtId="167" fontId="10" fillId="0" borderId="0" xfId="2" applyNumberFormat="1" applyFont="1" applyFill="1" applyBorder="1"/>
    <xf numFmtId="167" fontId="10" fillId="0" borderId="2" xfId="2" applyNumberFormat="1" applyFont="1" applyFill="1" applyBorder="1"/>
    <xf numFmtId="0" fontId="11" fillId="0" borderId="0" xfId="13" applyFont="1" applyFill="1" applyBorder="1"/>
    <xf numFmtId="0" fontId="11" fillId="0" borderId="0" xfId="13" applyFont="1"/>
    <xf numFmtId="167" fontId="15" fillId="0" borderId="0" xfId="2" applyNumberFormat="1" applyFont="1"/>
    <xf numFmtId="167" fontId="10" fillId="0" borderId="0" xfId="2" applyNumberFormat="1" applyFont="1" applyFill="1"/>
    <xf numFmtId="0" fontId="10" fillId="0" borderId="0" xfId="13" applyFont="1"/>
    <xf numFmtId="167" fontId="10" fillId="0" borderId="0" xfId="2" applyNumberFormat="1" applyFont="1"/>
    <xf numFmtId="0" fontId="11" fillId="0" borderId="0" xfId="13" applyFont="1" applyFill="1"/>
    <xf numFmtId="0" fontId="10" fillId="0" borderId="0" xfId="13" applyFont="1" applyFill="1"/>
    <xf numFmtId="0" fontId="9" fillId="0" borderId="0" xfId="13" applyFont="1"/>
    <xf numFmtId="0" fontId="15" fillId="0" borderId="0" xfId="13" applyFont="1" applyFill="1"/>
    <xf numFmtId="167" fontId="10" fillId="0" borderId="3" xfId="2" applyNumberFormat="1" applyFont="1" applyBorder="1"/>
    <xf numFmtId="0" fontId="10" fillId="0" borderId="0" xfId="13" applyFont="1" applyFill="1" applyBorder="1" applyAlignment="1">
      <alignment horizontal="right"/>
    </xf>
    <xf numFmtId="0" fontId="6" fillId="0" borderId="0" xfId="13" applyFont="1" applyFill="1" applyBorder="1" applyAlignment="1">
      <alignment horizontal="right"/>
    </xf>
    <xf numFmtId="0" fontId="6" fillId="0" borderId="0" xfId="13" applyFont="1" applyFill="1" applyBorder="1" applyAlignment="1">
      <alignment horizontal="left"/>
    </xf>
    <xf numFmtId="0" fontId="10" fillId="0" borderId="0" xfId="13" applyFont="1" applyFill="1" applyBorder="1" applyAlignment="1">
      <alignment horizontal="left"/>
    </xf>
    <xf numFmtId="167" fontId="10" fillId="0" borderId="5" xfId="2" applyNumberFormat="1" applyFont="1" applyFill="1" applyBorder="1"/>
    <xf numFmtId="0" fontId="9" fillId="0" borderId="0" xfId="13" applyFont="1" applyFill="1"/>
    <xf numFmtId="167" fontId="10" fillId="0" borderId="3" xfId="2" applyNumberFormat="1" applyFont="1" applyFill="1" applyBorder="1"/>
    <xf numFmtId="167" fontId="10" fillId="5" borderId="2" xfId="2" applyNumberFormat="1" applyFont="1" applyFill="1" applyBorder="1"/>
    <xf numFmtId="44" fontId="6" fillId="0" borderId="0" xfId="9" applyFont="1" applyFill="1"/>
    <xf numFmtId="0" fontId="9" fillId="0" borderId="0" xfId="13" applyFont="1" applyBorder="1" applyAlignment="1">
      <alignment horizontal="center"/>
    </xf>
    <xf numFmtId="0" fontId="26" fillId="0" borderId="0" xfId="0" applyFont="1"/>
    <xf numFmtId="167" fontId="10" fillId="5" borderId="2" xfId="2" applyNumberFormat="1" applyFont="1" applyFill="1" applyBorder="1"/>
    <xf numFmtId="0" fontId="9" fillId="0" borderId="0" xfId="13" applyFont="1" applyBorder="1"/>
    <xf numFmtId="0" fontId="16" fillId="0" borderId="0" xfId="13" applyFont="1" applyBorder="1"/>
    <xf numFmtId="0" fontId="10" fillId="0" borderId="4" xfId="0" applyFont="1" applyBorder="1"/>
    <xf numFmtId="0" fontId="16" fillId="0" borderId="0" xfId="13" applyFont="1"/>
    <xf numFmtId="167" fontId="10" fillId="5" borderId="5" xfId="2" applyNumberFormat="1" applyFont="1" applyFill="1" applyBorder="1"/>
    <xf numFmtId="0" fontId="23" fillId="0" borderId="0" xfId="14" applyFont="1"/>
    <xf numFmtId="164" fontId="23" fillId="0" borderId="0" xfId="14" applyNumberFormat="1" applyFont="1"/>
    <xf numFmtId="0" fontId="24" fillId="0" borderId="0" xfId="14" applyFont="1"/>
    <xf numFmtId="0" fontId="10" fillId="2" borderId="0" xfId="16" applyFont="1" applyFill="1"/>
    <xf numFmtId="167" fontId="10" fillId="2" borderId="0" xfId="6" applyNumberFormat="1" applyFont="1" applyFill="1"/>
    <xf numFmtId="0" fontId="10" fillId="6" borderId="0" xfId="16" applyFont="1" applyFill="1"/>
    <xf numFmtId="167" fontId="10" fillId="6" borderId="0" xfId="6" applyNumberFormat="1" applyFont="1" applyFill="1"/>
    <xf numFmtId="0" fontId="10" fillId="3" borderId="0" xfId="16" applyFont="1" applyFill="1"/>
    <xf numFmtId="167" fontId="10" fillId="3" borderId="0" xfId="6" applyNumberFormat="1" applyFont="1" applyFill="1"/>
    <xf numFmtId="167" fontId="10" fillId="0" borderId="2" xfId="6" applyNumberFormat="1" applyFont="1" applyBorder="1"/>
    <xf numFmtId="168" fontId="23" fillId="0" borderId="0" xfId="14" applyNumberFormat="1" applyFont="1" applyFill="1"/>
    <xf numFmtId="0" fontId="0" fillId="0" borderId="0" xfId="16" applyFont="1" applyAlignment="1">
      <alignment horizontal="center"/>
    </xf>
    <xf numFmtId="0" fontId="3" fillId="0" borderId="0" xfId="16" applyAlignment="1">
      <alignment horizontal="center"/>
    </xf>
    <xf numFmtId="0" fontId="24" fillId="0" borderId="0" xfId="14" applyFont="1" applyFill="1" applyAlignment="1">
      <alignment horizontal="right"/>
    </xf>
    <xf numFmtId="3" fontId="23" fillId="0" borderId="0" xfId="14" applyNumberFormat="1" applyFont="1" applyFill="1"/>
    <xf numFmtId="3" fontId="23" fillId="0" borderId="0" xfId="14" applyNumberFormat="1" applyFont="1" applyFill="1" applyAlignment="1">
      <alignment horizontal="center"/>
    </xf>
    <xf numFmtId="3" fontId="25" fillId="0" borderId="0" xfId="14" applyNumberFormat="1" applyFont="1" applyFill="1" applyAlignment="1">
      <alignment horizontal="center"/>
    </xf>
    <xf numFmtId="3" fontId="26" fillId="0" borderId="0" xfId="0" applyNumberFormat="1" applyFont="1"/>
    <xf numFmtId="3" fontId="27" fillId="0" borderId="0" xfId="0" applyNumberFormat="1" applyFont="1"/>
    <xf numFmtId="3" fontId="23" fillId="0" borderId="0" xfId="3" applyNumberFormat="1" applyFont="1" applyFill="1"/>
    <xf numFmtId="3" fontId="24" fillId="0" borderId="0" xfId="3" applyNumberFormat="1" applyFont="1" applyFill="1"/>
    <xf numFmtId="3" fontId="24" fillId="0" borderId="3" xfId="3" applyNumberFormat="1" applyFont="1" applyFill="1" applyBorder="1"/>
    <xf numFmtId="3" fontId="23" fillId="0" borderId="0" xfId="14" applyNumberFormat="1" applyFont="1"/>
    <xf numFmtId="164" fontId="6" fillId="0" borderId="0" xfId="16" applyNumberFormat="1" applyFont="1"/>
    <xf numFmtId="0" fontId="26" fillId="0" borderId="0" xfId="0" applyFont="1" applyFill="1"/>
    <xf numFmtId="169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/>
    <xf numFmtId="164" fontId="6" fillId="0" borderId="0" xfId="9" applyNumberFormat="1" applyFont="1" applyFill="1"/>
    <xf numFmtId="0" fontId="9" fillId="0" borderId="0" xfId="20" applyFont="1"/>
    <xf numFmtId="0" fontId="17" fillId="0" borderId="0" xfId="20"/>
    <xf numFmtId="164" fontId="0" fillId="0" borderId="0" xfId="11" applyNumberFormat="1" applyFont="1"/>
    <xf numFmtId="0" fontId="5" fillId="0" borderId="0" xfId="20" applyFont="1"/>
    <xf numFmtId="0" fontId="6" fillId="7" borderId="0" xfId="20" applyFont="1" applyFill="1"/>
    <xf numFmtId="164" fontId="6" fillId="0" borderId="0" xfId="11" applyNumberFormat="1" applyFont="1"/>
    <xf numFmtId="164" fontId="6" fillId="7" borderId="0" xfId="11" applyNumberFormat="1" applyFont="1" applyFill="1"/>
    <xf numFmtId="0" fontId="6" fillId="0" borderId="0" xfId="20" applyFont="1"/>
    <xf numFmtId="0" fontId="5" fillId="7" borderId="0" xfId="20" applyFont="1" applyFill="1" applyAlignment="1">
      <alignment horizontal="center"/>
    </xf>
    <xf numFmtId="164" fontId="5" fillId="0" borderId="0" xfId="11" applyNumberFormat="1" applyFont="1" applyAlignment="1">
      <alignment horizontal="center"/>
    </xf>
    <xf numFmtId="164" fontId="5" fillId="7" borderId="0" xfId="11" applyNumberFormat="1" applyFont="1" applyFill="1" applyAlignment="1">
      <alignment horizontal="center"/>
    </xf>
    <xf numFmtId="164" fontId="5" fillId="0" borderId="0" xfId="11" applyNumberFormat="1" applyFont="1"/>
    <xf numFmtId="164" fontId="6" fillId="0" borderId="0" xfId="11" applyNumberFormat="1" applyFont="1" applyFill="1"/>
    <xf numFmtId="167" fontId="6" fillId="0" borderId="0" xfId="8" applyNumberFormat="1" applyFont="1"/>
    <xf numFmtId="167" fontId="6" fillId="7" borderId="0" xfId="8" applyNumberFormat="1" applyFont="1" applyFill="1"/>
    <xf numFmtId="164" fontId="5" fillId="0" borderId="12" xfId="11" applyNumberFormat="1" applyFont="1" applyBorder="1" applyAlignment="1">
      <alignment horizontal="center"/>
    </xf>
    <xf numFmtId="43" fontId="5" fillId="0" borderId="12" xfId="8" applyNumberFormat="1" applyFont="1" applyBorder="1" applyAlignment="1">
      <alignment horizontal="center"/>
    </xf>
    <xf numFmtId="43" fontId="0" fillId="0" borderId="0" xfId="8" applyNumberFormat="1" applyFont="1" applyAlignment="1">
      <alignment horizontal="center"/>
    </xf>
    <xf numFmtId="43" fontId="6" fillId="0" borderId="0" xfId="8" applyNumberFormat="1" applyFont="1" applyAlignment="1">
      <alignment horizontal="center"/>
    </xf>
    <xf numFmtId="43" fontId="5" fillId="0" borderId="0" xfId="8" applyNumberFormat="1" applyFont="1" applyAlignment="1">
      <alignment horizontal="center"/>
    </xf>
    <xf numFmtId="43" fontId="0" fillId="0" borderId="0" xfId="0" applyNumberFormat="1"/>
    <xf numFmtId="167" fontId="9" fillId="0" borderId="0" xfId="2" applyNumberFormat="1" applyFont="1" applyFill="1" applyBorder="1" applyAlignment="1">
      <alignment horizontal="center"/>
    </xf>
    <xf numFmtId="167" fontId="0" fillId="0" borderId="0" xfId="0" applyNumberFormat="1"/>
    <xf numFmtId="44" fontId="23" fillId="0" borderId="0" xfId="9" applyFont="1" applyFill="1" applyAlignment="1">
      <alignment horizontal="center"/>
    </xf>
    <xf numFmtId="42" fontId="6" fillId="0" borderId="0" xfId="10" applyNumberFormat="1" applyFont="1" applyFill="1" applyBorder="1"/>
    <xf numFmtId="43" fontId="26" fillId="0" borderId="0" xfId="0" applyNumberFormat="1" applyFont="1"/>
    <xf numFmtId="43" fontId="23" fillId="0" borderId="0" xfId="14" applyNumberFormat="1" applyFont="1" applyFill="1"/>
    <xf numFmtId="43" fontId="25" fillId="0" borderId="0" xfId="14" applyNumberFormat="1" applyFont="1" applyFill="1" applyAlignment="1">
      <alignment horizontal="center"/>
    </xf>
    <xf numFmtId="43" fontId="26" fillId="0" borderId="0" xfId="0" applyNumberFormat="1" applyFont="1" applyFill="1"/>
    <xf numFmtId="43" fontId="27" fillId="0" borderId="0" xfId="0" applyNumberFormat="1" applyFont="1"/>
    <xf numFmtId="43" fontId="23" fillId="0" borderId="0" xfId="3" applyNumberFormat="1" applyFont="1" applyFill="1"/>
    <xf numFmtId="43" fontId="24" fillId="0" borderId="0" xfId="3" applyNumberFormat="1" applyFont="1" applyFill="1"/>
    <xf numFmtId="43" fontId="24" fillId="0" borderId="3" xfId="3" applyNumberFormat="1" applyFont="1" applyFill="1" applyBorder="1"/>
    <xf numFmtId="43" fontId="24" fillId="0" borderId="3" xfId="1" applyNumberFormat="1" applyFont="1" applyFill="1" applyBorder="1"/>
    <xf numFmtId="43" fontId="23" fillId="0" borderId="0" xfId="14" applyNumberFormat="1" applyFont="1"/>
    <xf numFmtId="169" fontId="26" fillId="0" borderId="0" xfId="0" applyNumberFormat="1" applyFont="1" applyFill="1"/>
    <xf numFmtId="0" fontId="23" fillId="0" borderId="0" xfId="14" applyFont="1" applyBorder="1"/>
    <xf numFmtId="0" fontId="10" fillId="0" borderId="0" xfId="0" applyFont="1" applyFill="1" applyBorder="1"/>
    <xf numFmtId="0" fontId="10" fillId="0" borderId="0" xfId="0" applyFont="1" applyBorder="1"/>
    <xf numFmtId="3" fontId="24" fillId="0" borderId="0" xfId="3" applyNumberFormat="1" applyFont="1" applyFill="1" applyBorder="1"/>
    <xf numFmtId="44" fontId="23" fillId="0" borderId="0" xfId="9" applyFont="1" applyFill="1"/>
    <xf numFmtId="0" fontId="26" fillId="0" borderId="0" xfId="0" applyFont="1" applyFill="1" applyAlignment="1">
      <alignment horizontal="left"/>
    </xf>
    <xf numFmtId="6" fontId="23" fillId="0" borderId="0" xfId="14" applyNumberFormat="1" applyFont="1" applyFill="1"/>
    <xf numFmtId="0" fontId="0" fillId="0" borderId="0" xfId="0" applyFill="1"/>
    <xf numFmtId="164" fontId="6" fillId="0" borderId="0" xfId="10" applyNumberFormat="1" applyFont="1" applyFill="1" applyBorder="1"/>
    <xf numFmtId="0" fontId="21" fillId="0" borderId="0" xfId="21" applyFont="1"/>
    <xf numFmtId="0" fontId="18" fillId="0" borderId="0" xfId="21"/>
    <xf numFmtId="44" fontId="0" fillId="0" borderId="0" xfId="12" applyFont="1"/>
    <xf numFmtId="0" fontId="18" fillId="0" borderId="0" xfId="21" applyAlignment="1">
      <alignment horizontal="center"/>
    </xf>
    <xf numFmtId="44" fontId="0" fillId="0" borderId="0" xfId="12" applyFont="1" applyAlignment="1">
      <alignment horizontal="center"/>
    </xf>
    <xf numFmtId="0" fontId="18" fillId="0" borderId="0" xfId="21" applyAlignment="1">
      <alignment horizontal="center" wrapText="1"/>
    </xf>
    <xf numFmtId="165" fontId="0" fillId="0" borderId="0" xfId="25" applyNumberFormat="1" applyFont="1"/>
    <xf numFmtId="1" fontId="18" fillId="0" borderId="0" xfId="21" applyNumberFormat="1" applyAlignment="1">
      <alignment horizontal="center"/>
    </xf>
    <xf numFmtId="44" fontId="18" fillId="0" borderId="0" xfId="21" applyNumberFormat="1"/>
    <xf numFmtId="0" fontId="0" fillId="0" borderId="0" xfId="21" applyFont="1"/>
    <xf numFmtId="0" fontId="18" fillId="0" borderId="0" xfId="21" applyFill="1"/>
    <xf numFmtId="0" fontId="18" fillId="0" borderId="0" xfId="21" applyBorder="1"/>
    <xf numFmtId="44" fontId="0" fillId="0" borderId="0" xfId="12" applyFont="1" applyBorder="1"/>
    <xf numFmtId="44" fontId="18" fillId="0" borderId="5" xfId="21" applyNumberFormat="1" applyBorder="1"/>
    <xf numFmtId="44" fontId="0" fillId="0" borderId="5" xfId="12" applyFont="1" applyBorder="1"/>
    <xf numFmtId="44" fontId="22" fillId="0" borderId="0" xfId="21" applyNumberFormat="1" applyFont="1"/>
    <xf numFmtId="44" fontId="0" fillId="0" borderId="0" xfId="12" applyFont="1" applyFill="1"/>
    <xf numFmtId="0" fontId="28" fillId="0" borderId="0" xfId="19" applyFont="1" applyAlignment="1">
      <alignment horizontal="left" wrapText="1"/>
    </xf>
    <xf numFmtId="0" fontId="20" fillId="0" borderId="0" xfId="19" applyAlignment="1">
      <alignment horizontal="left" wrapText="1"/>
    </xf>
    <xf numFmtId="0" fontId="20" fillId="9" borderId="0" xfId="19" applyFill="1"/>
    <xf numFmtId="0" fontId="20" fillId="0" borderId="0" xfId="19"/>
    <xf numFmtId="0" fontId="29" fillId="0" borderId="0" xfId="19" applyFont="1" applyAlignment="1">
      <alignment horizontal="left" wrapText="1"/>
    </xf>
    <xf numFmtId="40" fontId="29" fillId="9" borderId="0" xfId="19" applyNumberFormat="1" applyFont="1" applyFill="1" applyAlignment="1">
      <alignment horizontal="right" wrapText="1"/>
    </xf>
    <xf numFmtId="17" fontId="20" fillId="0" borderId="0" xfId="19" applyNumberFormat="1"/>
    <xf numFmtId="0" fontId="20" fillId="0" borderId="0" xfId="19" applyAlignment="1">
      <alignment horizontal="left" vertical="top" wrapText="1"/>
    </xf>
    <xf numFmtId="0" fontId="20" fillId="0" borderId="0" xfId="19" applyFont="1" applyFill="1" applyAlignment="1">
      <alignment horizontal="left" vertical="top" wrapText="1"/>
    </xf>
    <xf numFmtId="40" fontId="20" fillId="9" borderId="0" xfId="19" applyNumberFormat="1" applyFont="1" applyFill="1" applyAlignment="1">
      <alignment horizontal="right" vertical="top" wrapText="1"/>
    </xf>
    <xf numFmtId="0" fontId="20" fillId="0" borderId="0" xfId="19" applyFont="1" applyFill="1"/>
    <xf numFmtId="40" fontId="20" fillId="9" borderId="0" xfId="19" applyNumberFormat="1" applyFill="1" applyAlignment="1">
      <alignment horizontal="right" vertical="top" wrapText="1"/>
    </xf>
    <xf numFmtId="40" fontId="20" fillId="9" borderId="0" xfId="19" applyNumberFormat="1" applyFill="1"/>
    <xf numFmtId="0" fontId="20" fillId="0" borderId="0" xfId="19" applyFill="1" applyAlignment="1">
      <alignment horizontal="left" vertical="top" wrapText="1"/>
    </xf>
    <xf numFmtId="0" fontId="20" fillId="0" borderId="0" xfId="19" applyFill="1"/>
    <xf numFmtId="40" fontId="30" fillId="0" borderId="0" xfId="19" applyNumberFormat="1" applyFont="1" applyAlignment="1">
      <alignment horizontal="right" vertical="top" wrapText="1"/>
    </xf>
    <xf numFmtId="40" fontId="31" fillId="9" borderId="0" xfId="19" applyNumberFormat="1" applyFont="1" applyFill="1" applyAlignment="1">
      <alignment horizontal="right" vertical="top" wrapText="1"/>
    </xf>
    <xf numFmtId="40" fontId="20" fillId="0" borderId="0" xfId="19" applyNumberFormat="1" applyAlignment="1">
      <alignment horizontal="left" wrapText="1"/>
    </xf>
    <xf numFmtId="40" fontId="20" fillId="0" borderId="0" xfId="19" applyNumberFormat="1" applyFont="1" applyFill="1"/>
    <xf numFmtId="44" fontId="6" fillId="0" borderId="0" xfId="16" applyNumberFormat="1" applyFont="1"/>
    <xf numFmtId="40" fontId="31" fillId="0" borderId="0" xfId="19" applyNumberFormat="1" applyFont="1" applyFill="1" applyAlignment="1">
      <alignment horizontal="right" vertical="top" wrapText="1"/>
    </xf>
    <xf numFmtId="0" fontId="33" fillId="0" borderId="0" xfId="0" applyFont="1" applyFill="1" applyAlignment="1">
      <alignment horizontal="left"/>
    </xf>
    <xf numFmtId="0" fontId="34" fillId="0" borderId="0" xfId="16" applyFont="1"/>
    <xf numFmtId="0" fontId="34" fillId="0" borderId="0" xfId="0" applyFont="1"/>
    <xf numFmtId="0" fontId="33" fillId="0" borderId="0" xfId="16" applyFont="1"/>
    <xf numFmtId="0" fontId="33" fillId="0" borderId="0" xfId="16" applyFont="1" applyAlignment="1">
      <alignment horizontal="center"/>
    </xf>
    <xf numFmtId="0" fontId="34" fillId="0" borderId="0" xfId="16" applyFont="1" applyFill="1"/>
    <xf numFmtId="0" fontId="33" fillId="0" borderId="0" xfId="16" applyFont="1" applyBorder="1" applyAlignment="1">
      <alignment horizontal="center"/>
    </xf>
    <xf numFmtId="0" fontId="33" fillId="0" borderId="0" xfId="16" applyFont="1" applyFill="1" applyAlignment="1">
      <alignment horizontal="center"/>
    </xf>
    <xf numFmtId="0" fontId="35" fillId="0" borderId="0" xfId="16" applyFont="1" applyAlignment="1">
      <alignment horizontal="center"/>
    </xf>
    <xf numFmtId="0" fontId="35" fillId="0" borderId="0" xfId="16" applyFont="1" applyFill="1" applyAlignment="1">
      <alignment horizontal="center"/>
    </xf>
    <xf numFmtId="164" fontId="34" fillId="0" borderId="0" xfId="10" applyNumberFormat="1" applyFont="1"/>
    <xf numFmtId="164" fontId="34" fillId="0" borderId="0" xfId="16" applyNumberFormat="1" applyFont="1" applyFill="1"/>
    <xf numFmtId="44" fontId="34" fillId="0" borderId="0" xfId="0" applyNumberFormat="1" applyFont="1"/>
    <xf numFmtId="167" fontId="34" fillId="0" borderId="0" xfId="5" applyNumberFormat="1" applyFont="1"/>
    <xf numFmtId="167" fontId="34" fillId="0" borderId="0" xfId="8" applyNumberFormat="1" applyFont="1" applyFill="1"/>
    <xf numFmtId="167" fontId="34" fillId="0" borderId="6" xfId="5" applyNumberFormat="1" applyFont="1" applyBorder="1"/>
    <xf numFmtId="167" fontId="34" fillId="0" borderId="6" xfId="8" applyNumberFormat="1" applyFont="1" applyFill="1" applyBorder="1"/>
    <xf numFmtId="167" fontId="34" fillId="0" borderId="0" xfId="5" applyNumberFormat="1" applyFont="1" applyBorder="1"/>
    <xf numFmtId="167" fontId="34" fillId="0" borderId="0" xfId="5" applyNumberFormat="1" applyFont="1" applyFill="1"/>
    <xf numFmtId="164" fontId="33" fillId="0" borderId="7" xfId="10" applyNumberFormat="1" applyFont="1" applyBorder="1"/>
    <xf numFmtId="164" fontId="34" fillId="0" borderId="0" xfId="16" applyNumberFormat="1" applyFont="1"/>
    <xf numFmtId="0" fontId="34" fillId="0" borderId="0" xfId="0" applyFont="1" applyFill="1"/>
    <xf numFmtId="0" fontId="34" fillId="0" borderId="0" xfId="16" applyFont="1" applyAlignment="1">
      <alignment horizontal="left"/>
    </xf>
    <xf numFmtId="0" fontId="34" fillId="0" borderId="6" xfId="16" applyFont="1" applyBorder="1"/>
    <xf numFmtId="0" fontId="33" fillId="0" borderId="0" xfId="16" applyFont="1" applyAlignment="1">
      <alignment wrapText="1"/>
    </xf>
    <xf numFmtId="0" fontId="34" fillId="0" borderId="0" xfId="16" applyFont="1" applyAlignment="1">
      <alignment wrapText="1"/>
    </xf>
    <xf numFmtId="164" fontId="33" fillId="0" borderId="0" xfId="16" applyNumberFormat="1" applyFont="1" applyBorder="1"/>
    <xf numFmtId="0" fontId="3" fillId="0" borderId="0" xfId="16" applyFill="1"/>
    <xf numFmtId="14" fontId="3" fillId="0" borderId="0" xfId="16" applyNumberFormat="1" applyFill="1"/>
    <xf numFmtId="164" fontId="6" fillId="8" borderId="0" xfId="10" applyNumberFormat="1" applyFont="1" applyFill="1"/>
    <xf numFmtId="10" fontId="6" fillId="8" borderId="0" xfId="16" applyNumberFormat="1" applyFont="1" applyFill="1"/>
    <xf numFmtId="10" fontId="6" fillId="8" borderId="0" xfId="23" applyNumberFormat="1" applyFont="1" applyFill="1"/>
    <xf numFmtId="166" fontId="6" fillId="8" borderId="0" xfId="5" applyNumberFormat="1" applyFont="1" applyFill="1"/>
    <xf numFmtId="0" fontId="10" fillId="0" borderId="0" xfId="0" applyFont="1" applyFill="1"/>
    <xf numFmtId="164" fontId="33" fillId="0" borderId="0" xfId="16" applyNumberFormat="1" applyFont="1" applyFill="1"/>
    <xf numFmtId="164" fontId="6" fillId="0" borderId="0" xfId="16" applyNumberFormat="1" applyFont="1" applyFill="1"/>
    <xf numFmtId="44" fontId="23" fillId="0" borderId="0" xfId="14" applyNumberFormat="1" applyFont="1"/>
    <xf numFmtId="0" fontId="24" fillId="0" borderId="0" xfId="14" applyFont="1" applyFill="1" applyAlignment="1">
      <alignment horizontal="center"/>
    </xf>
    <xf numFmtId="0" fontId="27" fillId="0" borderId="0" xfId="0" applyFont="1" applyFill="1" applyAlignment="1">
      <alignment horizontal="right"/>
    </xf>
    <xf numFmtId="16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/>
    <xf numFmtId="0" fontId="10" fillId="0" borderId="13" xfId="0" applyFont="1" applyFill="1" applyBorder="1"/>
    <xf numFmtId="0" fontId="10" fillId="0" borderId="0" xfId="16" applyFont="1"/>
    <xf numFmtId="170" fontId="6" fillId="0" borderId="0" xfId="23" applyNumberFormat="1" applyFont="1"/>
    <xf numFmtId="164" fontId="6" fillId="8" borderId="0" xfId="9" applyNumberFormat="1" applyFont="1" applyFill="1"/>
    <xf numFmtId="0" fontId="3" fillId="0" borderId="0" xfId="0" applyFont="1" applyFill="1"/>
    <xf numFmtId="167" fontId="0" fillId="0" borderId="0" xfId="0" applyNumberFormat="1" applyFill="1"/>
    <xf numFmtId="0" fontId="10" fillId="0" borderId="0" xfId="20" applyFont="1"/>
    <xf numFmtId="0" fontId="10" fillId="0" borderId="0" xfId="20" applyFont="1" applyAlignment="1">
      <alignment horizontal="left"/>
    </xf>
    <xf numFmtId="0" fontId="9" fillId="0" borderId="0" xfId="16" applyFont="1" applyFill="1"/>
    <xf numFmtId="0" fontId="33" fillId="0" borderId="0" xfId="16" applyFont="1" applyFill="1"/>
    <xf numFmtId="164" fontId="33" fillId="0" borderId="0" xfId="16" applyNumberFormat="1" applyFont="1" applyFill="1" applyBorder="1"/>
    <xf numFmtId="167" fontId="9" fillId="0" borderId="8" xfId="5" applyNumberFormat="1" applyFont="1" applyFill="1" applyBorder="1"/>
    <xf numFmtId="0" fontId="38" fillId="0" borderId="0" xfId="13" applyFont="1" applyBorder="1"/>
    <xf numFmtId="0" fontId="39" fillId="0" borderId="0" xfId="13" applyFont="1" applyBorder="1"/>
    <xf numFmtId="0" fontId="40" fillId="0" borderId="0" xfId="0" applyFont="1"/>
    <xf numFmtId="0" fontId="41" fillId="0" borderId="0" xfId="13" applyFont="1" applyBorder="1" applyAlignment="1">
      <alignment horizontal="center"/>
    </xf>
    <xf numFmtId="0" fontId="42" fillId="0" borderId="0" xfId="13" applyFont="1" applyBorder="1"/>
    <xf numFmtId="167" fontId="42" fillId="0" borderId="0" xfId="2" applyNumberFormat="1" applyFont="1" applyBorder="1"/>
    <xf numFmtId="0" fontId="43" fillId="0" borderId="0" xfId="13" applyFont="1" applyBorder="1"/>
    <xf numFmtId="167" fontId="41" fillId="0" borderId="0" xfId="2" applyNumberFormat="1" applyFont="1" applyBorder="1" applyAlignment="1">
      <alignment horizontal="center"/>
    </xf>
    <xf numFmtId="0" fontId="42" fillId="0" borderId="0" xfId="13" applyFont="1" applyFill="1" applyBorder="1"/>
    <xf numFmtId="167" fontId="42" fillId="0" borderId="0" xfId="2" applyNumberFormat="1" applyFont="1" applyFill="1" applyBorder="1"/>
    <xf numFmtId="0" fontId="42" fillId="0" borderId="0" xfId="13" applyFont="1" applyFill="1" applyBorder="1" applyAlignment="1">
      <alignment horizontal="right"/>
    </xf>
    <xf numFmtId="167" fontId="42" fillId="5" borderId="2" xfId="2" applyNumberFormat="1" applyFont="1" applyFill="1" applyBorder="1"/>
    <xf numFmtId="0" fontId="42" fillId="0" borderId="0" xfId="13" applyFont="1" applyFill="1"/>
    <xf numFmtId="167" fontId="42" fillId="0" borderId="0" xfId="2" applyNumberFormat="1" applyFont="1" applyFill="1"/>
    <xf numFmtId="0" fontId="43" fillId="0" borderId="0" xfId="13" applyFont="1" applyFill="1"/>
    <xf numFmtId="0" fontId="42" fillId="0" borderId="0" xfId="13" applyFont="1"/>
    <xf numFmtId="164" fontId="42" fillId="0" borderId="0" xfId="10" applyNumberFormat="1" applyFont="1"/>
    <xf numFmtId="0" fontId="44" fillId="0" borderId="0" xfId="13" applyFont="1" applyFill="1" applyBorder="1" applyAlignment="1">
      <alignment horizontal="right"/>
    </xf>
    <xf numFmtId="167" fontId="41" fillId="5" borderId="2" xfId="2" applyNumberFormat="1" applyFont="1" applyFill="1" applyBorder="1"/>
    <xf numFmtId="167" fontId="42" fillId="0" borderId="0" xfId="2" applyNumberFormat="1" applyFont="1"/>
    <xf numFmtId="0" fontId="41" fillId="0" borderId="0" xfId="13" applyFont="1"/>
    <xf numFmtId="0" fontId="40" fillId="0" borderId="0" xfId="0" applyFont="1" applyFill="1"/>
    <xf numFmtId="0" fontId="45" fillId="0" borderId="0" xfId="0" applyFont="1" applyFill="1"/>
    <xf numFmtId="0" fontId="46" fillId="0" borderId="0" xfId="13" applyFont="1" applyFill="1" applyBorder="1"/>
    <xf numFmtId="0" fontId="46" fillId="0" borderId="0" xfId="13" applyFont="1" applyFill="1" applyBorder="1" applyAlignment="1">
      <alignment horizontal="right"/>
    </xf>
    <xf numFmtId="0" fontId="44" fillId="0" borderId="0" xfId="13" applyFont="1" applyFill="1" applyBorder="1" applyAlignment="1">
      <alignment horizontal="left"/>
    </xf>
    <xf numFmtId="0" fontId="46" fillId="0" borderId="0" xfId="13" applyFont="1" applyFill="1" applyBorder="1" applyAlignment="1">
      <alignment horizontal="left"/>
    </xf>
    <xf numFmtId="167" fontId="41" fillId="0" borderId="2" xfId="2" applyNumberFormat="1" applyFont="1" applyFill="1" applyBorder="1"/>
    <xf numFmtId="0" fontId="41" fillId="0" borderId="0" xfId="13" applyFont="1" applyFill="1" applyBorder="1" applyAlignment="1">
      <alignment horizontal="right"/>
    </xf>
    <xf numFmtId="0" fontId="42" fillId="0" borderId="0" xfId="13" applyFont="1" applyFill="1" applyBorder="1" applyAlignment="1">
      <alignment horizontal="left"/>
    </xf>
    <xf numFmtId="0" fontId="41" fillId="0" borderId="0" xfId="13" applyFont="1" applyFill="1" applyAlignment="1">
      <alignment horizontal="right"/>
    </xf>
    <xf numFmtId="0" fontId="43" fillId="0" borderId="0" xfId="13" applyFont="1"/>
    <xf numFmtId="167" fontId="41" fillId="0" borderId="3" xfId="2" applyNumberFormat="1" applyFont="1" applyBorder="1"/>
    <xf numFmtId="0" fontId="0" fillId="0" borderId="0" xfId="0" applyFont="1"/>
    <xf numFmtId="3" fontId="34" fillId="0" borderId="0" xfId="16" applyNumberFormat="1" applyFont="1"/>
    <xf numFmtId="0" fontId="33" fillId="0" borderId="9" xfId="16" applyFont="1" applyBorder="1" applyAlignment="1">
      <alignment horizontal="center"/>
    </xf>
    <xf numFmtId="0" fontId="33" fillId="0" borderId="7" xfId="16" applyFont="1" applyBorder="1" applyAlignment="1">
      <alignment horizontal="center"/>
    </xf>
    <xf numFmtId="0" fontId="33" fillId="0" borderId="10" xfId="16" applyFont="1" applyBorder="1" applyAlignment="1">
      <alignment horizontal="center"/>
    </xf>
    <xf numFmtId="166" fontId="5" fillId="0" borderId="6" xfId="8" applyNumberFormat="1" applyFont="1" applyBorder="1" applyAlignment="1">
      <alignment horizontal="center"/>
    </xf>
    <xf numFmtId="164" fontId="5" fillId="0" borderId="11" xfId="11" applyNumberFormat="1" applyFont="1" applyBorder="1" applyAlignment="1">
      <alignment horizontal="center"/>
    </xf>
    <xf numFmtId="164" fontId="5" fillId="0" borderId="0" xfId="11" applyNumberFormat="1" applyFont="1" applyAlignment="1">
      <alignment horizontal="center"/>
    </xf>
    <xf numFmtId="0" fontId="24" fillId="0" borderId="0" xfId="14" applyFont="1" applyFill="1" applyAlignment="1">
      <alignment horizontal="center"/>
    </xf>
    <xf numFmtId="0" fontId="32" fillId="0" borderId="0" xfId="14" applyFont="1" applyFill="1" applyAlignment="1">
      <alignment horizontal="center"/>
    </xf>
    <xf numFmtId="0" fontId="1" fillId="0" borderId="8" xfId="21" applyFont="1" applyBorder="1" applyAlignment="1">
      <alignment horizontal="center"/>
    </xf>
  </cellXfs>
  <cellStyles count="26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5" xfId="7" xr:uid="{00000000-0005-0000-0000-000006000000}"/>
    <cellStyle name="Comma 6" xfId="8" xr:uid="{00000000-0005-0000-0000-000007000000}"/>
    <cellStyle name="Currency" xfId="9" builtinId="4"/>
    <cellStyle name="Currency 2" xfId="10" xr:uid="{00000000-0005-0000-0000-000009000000}"/>
    <cellStyle name="Currency 3 2" xfId="11" xr:uid="{00000000-0005-0000-0000-00000A000000}"/>
    <cellStyle name="Currency 4 2 2" xfId="12" xr:uid="{00000000-0005-0000-0000-00000B000000}"/>
    <cellStyle name="Normal" xfId="0" builtinId="0"/>
    <cellStyle name="Normal 2" xfId="13" xr:uid="{00000000-0005-0000-0000-00000D000000}"/>
    <cellStyle name="Normal 2 2" xfId="14" xr:uid="{00000000-0005-0000-0000-00000E000000}"/>
    <cellStyle name="Normal 3" xfId="15" xr:uid="{00000000-0005-0000-0000-00000F000000}"/>
    <cellStyle name="Normal 3 2" xfId="16" xr:uid="{00000000-0005-0000-0000-000010000000}"/>
    <cellStyle name="Normal 4" xfId="17" xr:uid="{00000000-0005-0000-0000-000011000000}"/>
    <cellStyle name="Normal 4 2" xfId="18" xr:uid="{00000000-0005-0000-0000-000012000000}"/>
    <cellStyle name="Normal 5" xfId="19" xr:uid="{00000000-0005-0000-0000-000013000000}"/>
    <cellStyle name="Normal 5 2" xfId="20" xr:uid="{00000000-0005-0000-0000-000014000000}"/>
    <cellStyle name="Normal 6 2 2" xfId="21" xr:uid="{00000000-0005-0000-0000-000015000000}"/>
    <cellStyle name="Percent 2" xfId="22" xr:uid="{00000000-0005-0000-0000-000016000000}"/>
    <cellStyle name="Percent 2 2" xfId="23" xr:uid="{00000000-0005-0000-0000-000017000000}"/>
    <cellStyle name="Percent 3" xfId="24" xr:uid="{00000000-0005-0000-0000-000018000000}"/>
    <cellStyle name="Percent 4 3 2" xfId="25" xr:uid="{00000000-0005-0000-0000-00001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63"/>
  <sheetViews>
    <sheetView tabSelected="1" workbookViewId="0">
      <selection activeCell="G13" sqref="G13"/>
    </sheetView>
  </sheetViews>
  <sheetFormatPr defaultColWidth="9.140625" defaultRowHeight="15" x14ac:dyDescent="0.2"/>
  <cols>
    <col min="1" max="1" width="49" style="183" customWidth="1"/>
    <col min="2" max="2" width="25.7109375" style="183" customWidth="1"/>
    <col min="3" max="3" width="14.28515625" style="183" bestFit="1" customWidth="1"/>
    <col min="4" max="4" width="3.28515625" style="183" customWidth="1"/>
    <col min="5" max="5" width="11.85546875" style="183" customWidth="1"/>
    <col min="6" max="6" width="9.140625" style="183"/>
    <col min="7" max="7" width="15.5703125" style="183" bestFit="1" customWidth="1"/>
    <col min="8" max="8" width="14.28515625" style="183" bestFit="1" customWidth="1"/>
    <col min="9" max="16384" width="9.140625" style="183"/>
  </cols>
  <sheetData>
    <row r="1" spans="1:7" ht="15.75" x14ac:dyDescent="0.25">
      <c r="A1" s="181" t="s">
        <v>131</v>
      </c>
      <c r="B1" s="181"/>
      <c r="C1" s="182"/>
      <c r="D1" s="182"/>
      <c r="E1" s="182"/>
    </row>
    <row r="2" spans="1:7" ht="15.75" x14ac:dyDescent="0.25">
      <c r="A2" s="181" t="s">
        <v>242</v>
      </c>
      <c r="B2" s="181"/>
      <c r="C2" s="182"/>
      <c r="D2" s="182"/>
      <c r="E2" s="182"/>
    </row>
    <row r="3" spans="1:7" ht="15.75" x14ac:dyDescent="0.25">
      <c r="A3" s="184" t="s">
        <v>160</v>
      </c>
      <c r="B3" s="184"/>
      <c r="C3" s="182"/>
      <c r="D3" s="182"/>
      <c r="E3" s="182"/>
    </row>
    <row r="4" spans="1:7" ht="16.5" thickBot="1" x14ac:dyDescent="0.3">
      <c r="A4" s="182"/>
      <c r="B4" s="182"/>
      <c r="C4" s="185"/>
      <c r="D4" s="186"/>
      <c r="E4" s="182"/>
    </row>
    <row r="5" spans="1:7" ht="16.5" thickBot="1" x14ac:dyDescent="0.3">
      <c r="A5" s="184" t="s">
        <v>161</v>
      </c>
      <c r="B5" s="184"/>
      <c r="C5" s="270">
        <f>'Assumption Data'!B16</f>
        <v>327</v>
      </c>
      <c r="D5" s="271"/>
      <c r="E5" s="272"/>
    </row>
    <row r="6" spans="1:7" ht="15.75" x14ac:dyDescent="0.25">
      <c r="A6" s="184"/>
      <c r="B6" s="184"/>
      <c r="C6" s="187"/>
      <c r="D6" s="186"/>
      <c r="E6" s="182"/>
    </row>
    <row r="7" spans="1:7" ht="15.75" x14ac:dyDescent="0.25">
      <c r="A7" s="184"/>
      <c r="B7" s="184"/>
      <c r="C7" s="187" t="s">
        <v>162</v>
      </c>
      <c r="D7" s="186"/>
      <c r="E7" s="188" t="s">
        <v>163</v>
      </c>
    </row>
    <row r="8" spans="1:7" ht="15.75" x14ac:dyDescent="0.25">
      <c r="A8" s="182"/>
      <c r="B8" s="182"/>
      <c r="C8" s="189" t="s">
        <v>164</v>
      </c>
      <c r="D8" s="186"/>
      <c r="E8" s="190" t="s">
        <v>165</v>
      </c>
    </row>
    <row r="9" spans="1:7" ht="15.75" x14ac:dyDescent="0.25">
      <c r="A9" s="184" t="s">
        <v>166</v>
      </c>
      <c r="B9" s="184"/>
      <c r="C9" s="185"/>
      <c r="D9" s="186"/>
      <c r="E9" s="186"/>
    </row>
    <row r="10" spans="1:7" x14ac:dyDescent="0.2">
      <c r="A10" s="182"/>
      <c r="B10" s="182"/>
      <c r="C10" s="182"/>
      <c r="D10" s="186"/>
      <c r="E10" s="186"/>
    </row>
    <row r="11" spans="1:7" x14ac:dyDescent="0.2">
      <c r="A11" s="182" t="s">
        <v>167</v>
      </c>
      <c r="B11" s="182"/>
      <c r="C11" s="191">
        <f>'Assumption Data'!B16*('Assumption Data'!B24+'Assumption Data'!B26)</f>
        <v>2686632</v>
      </c>
      <c r="D11" s="186"/>
      <c r="E11" s="192">
        <f t="shared" ref="E11:E17" si="0">C11/$C$5</f>
        <v>8216</v>
      </c>
      <c r="G11" s="193"/>
    </row>
    <row r="12" spans="1:7" x14ac:dyDescent="0.2">
      <c r="A12" s="182" t="s">
        <v>71</v>
      </c>
      <c r="B12" s="269"/>
      <c r="C12" s="194">
        <f>'Assumption Data'!B28</f>
        <v>88507</v>
      </c>
      <c r="D12" s="186"/>
      <c r="E12" s="195">
        <f t="shared" si="0"/>
        <v>270.66360856269114</v>
      </c>
    </row>
    <row r="13" spans="1:7" x14ac:dyDescent="0.2">
      <c r="A13" s="182" t="s">
        <v>72</v>
      </c>
      <c r="B13" s="269"/>
      <c r="C13" s="194">
        <f>'Assumption Data'!B30</f>
        <v>13026</v>
      </c>
      <c r="D13" s="186"/>
      <c r="E13" s="195">
        <f t="shared" si="0"/>
        <v>39.834862385321102</v>
      </c>
    </row>
    <row r="14" spans="1:7" x14ac:dyDescent="0.2">
      <c r="A14" s="224" t="s">
        <v>406</v>
      </c>
      <c r="B14" s="269"/>
      <c r="C14" s="194">
        <f>'Assumption Data'!B32</f>
        <v>10000</v>
      </c>
      <c r="D14" s="186"/>
      <c r="E14" s="195">
        <f t="shared" si="0"/>
        <v>30.581039755351682</v>
      </c>
    </row>
    <row r="15" spans="1:7" x14ac:dyDescent="0.2">
      <c r="A15" s="224" t="s">
        <v>73</v>
      </c>
      <c r="B15" s="182"/>
      <c r="C15" s="194">
        <f>'Assumption Data'!B34</f>
        <v>41161</v>
      </c>
      <c r="D15" s="186"/>
      <c r="E15" s="195">
        <f t="shared" si="0"/>
        <v>125.87461773700306</v>
      </c>
    </row>
    <row r="16" spans="1:7" x14ac:dyDescent="0.2">
      <c r="A16" s="182" t="s">
        <v>168</v>
      </c>
      <c r="B16" s="182"/>
      <c r="C16" s="194">
        <f>'Food Service'!L7+'Food Service'!L8</f>
        <v>177374.61</v>
      </c>
      <c r="D16" s="186"/>
      <c r="E16" s="195">
        <f t="shared" si="0"/>
        <v>542.42999999999995</v>
      </c>
    </row>
    <row r="17" spans="1:5" ht="15.75" thickBot="1" x14ac:dyDescent="0.25">
      <c r="A17" s="224" t="s">
        <v>341</v>
      </c>
      <c r="B17" s="182"/>
      <c r="C17" s="196">
        <f>'Assumption Data'!B36</f>
        <v>21250</v>
      </c>
      <c r="D17" s="186"/>
      <c r="E17" s="197">
        <f t="shared" si="0"/>
        <v>64.984709480122319</v>
      </c>
    </row>
    <row r="18" spans="1:5" x14ac:dyDescent="0.2">
      <c r="A18" s="182"/>
      <c r="B18" s="182"/>
      <c r="C18" s="198"/>
      <c r="D18" s="186"/>
      <c r="E18" s="198"/>
    </row>
    <row r="19" spans="1:5" x14ac:dyDescent="0.2">
      <c r="A19" s="182" t="s">
        <v>169</v>
      </c>
      <c r="B19" s="182"/>
      <c r="C19" s="191">
        <f>SUM(C11:C17)</f>
        <v>3037950.61</v>
      </c>
      <c r="D19" s="186"/>
      <c r="E19" s="191">
        <f>SUM(E11:E17)</f>
        <v>9290.3688379204905</v>
      </c>
    </row>
    <row r="20" spans="1:5" x14ac:dyDescent="0.2">
      <c r="A20" s="182"/>
      <c r="B20" s="182"/>
      <c r="C20" s="194"/>
      <c r="D20" s="182"/>
      <c r="E20" s="182"/>
    </row>
    <row r="21" spans="1:5" x14ac:dyDescent="0.2">
      <c r="A21" s="182" t="s">
        <v>170</v>
      </c>
      <c r="B21" s="182"/>
      <c r="C21" s="199">
        <f>'Assumption Data'!B46</f>
        <v>0</v>
      </c>
      <c r="D21" s="182"/>
      <c r="E21" s="195">
        <f>C21/$C$5</f>
        <v>0</v>
      </c>
    </row>
    <row r="22" spans="1:5" x14ac:dyDescent="0.2">
      <c r="C22" s="194"/>
      <c r="D22" s="182"/>
      <c r="E22" s="195"/>
    </row>
    <row r="23" spans="1:5" x14ac:dyDescent="0.2">
      <c r="A23" s="182" t="s">
        <v>171</v>
      </c>
      <c r="B23" s="182" t="s">
        <v>194</v>
      </c>
      <c r="C23" s="194">
        <v>0</v>
      </c>
      <c r="D23" s="182"/>
      <c r="E23" s="195">
        <f>C23/$C$5</f>
        <v>0</v>
      </c>
    </row>
    <row r="24" spans="1:5" x14ac:dyDescent="0.2">
      <c r="A24" s="182"/>
      <c r="B24" s="182" t="s">
        <v>172</v>
      </c>
      <c r="C24" s="194">
        <f>'Assumption Data'!B48</f>
        <v>7500</v>
      </c>
      <c r="D24" s="182"/>
      <c r="E24" s="195">
        <f>C24/$C$5</f>
        <v>22.935779816513762</v>
      </c>
    </row>
    <row r="25" spans="1:5" ht="16.5" thickBot="1" x14ac:dyDescent="0.3">
      <c r="A25" s="182"/>
      <c r="B25" s="184"/>
      <c r="C25" s="196"/>
      <c r="D25" s="182"/>
      <c r="E25" s="182"/>
    </row>
    <row r="26" spans="1:5" ht="16.5" thickBot="1" x14ac:dyDescent="0.3">
      <c r="A26" s="184" t="s">
        <v>173</v>
      </c>
      <c r="B26" s="182"/>
      <c r="C26" s="200">
        <f>SUM(C19:C25)</f>
        <v>3045450.61</v>
      </c>
      <c r="D26" s="182"/>
      <c r="E26" s="200">
        <f>SUM(E19:E25)</f>
        <v>9313.3046177370034</v>
      </c>
    </row>
    <row r="27" spans="1:5" x14ac:dyDescent="0.2">
      <c r="A27" s="182"/>
      <c r="B27" s="182"/>
      <c r="C27" s="182"/>
      <c r="D27" s="182"/>
      <c r="E27" s="182"/>
    </row>
    <row r="28" spans="1:5" ht="15.75" x14ac:dyDescent="0.25">
      <c r="A28" s="184" t="s">
        <v>174</v>
      </c>
      <c r="B28" s="184"/>
      <c r="C28" s="182"/>
      <c r="D28" s="182"/>
      <c r="E28" s="182"/>
    </row>
    <row r="29" spans="1:5" ht="15.75" x14ac:dyDescent="0.25">
      <c r="A29" s="184"/>
      <c r="B29" s="184"/>
      <c r="C29" s="182"/>
      <c r="D29" s="182"/>
      <c r="E29" s="182"/>
    </row>
    <row r="30" spans="1:5" x14ac:dyDescent="0.2">
      <c r="A30" s="182" t="s">
        <v>1</v>
      </c>
      <c r="B30" s="182"/>
      <c r="C30" s="191">
        <f>'Staffing Summary'!D47</f>
        <v>1337632.3333333333</v>
      </c>
      <c r="D30" s="201"/>
      <c r="E30" s="192">
        <f>C30/$C$5</f>
        <v>4090.6187563710496</v>
      </c>
    </row>
    <row r="31" spans="1:5" x14ac:dyDescent="0.2">
      <c r="A31" s="182" t="s">
        <v>76</v>
      </c>
      <c r="B31" s="182" t="s">
        <v>175</v>
      </c>
      <c r="C31" s="194">
        <f>'Staffing Summary'!F47+'Staffing Summary'!G47+'Staffing Summary'!K47</f>
        <v>107385.20683333334</v>
      </c>
      <c r="D31" s="201"/>
      <c r="E31" s="195">
        <f>C31/$C$5</f>
        <v>328.39512793068303</v>
      </c>
    </row>
    <row r="32" spans="1:5" s="202" customFormat="1" x14ac:dyDescent="0.2">
      <c r="A32" s="182"/>
      <c r="B32" s="182" t="s">
        <v>176</v>
      </c>
      <c r="C32" s="194">
        <f>'Staffing Summary'!I47+'Staffing Summary'!J47+'Staffing Summary'!L47</f>
        <v>203646.83599999995</v>
      </c>
      <c r="D32" s="201"/>
      <c r="E32" s="195">
        <f>C32/$C$5</f>
        <v>622.77319877675825</v>
      </c>
    </row>
    <row r="33" spans="1:5" x14ac:dyDescent="0.2">
      <c r="A33" s="186"/>
      <c r="B33" s="186"/>
      <c r="C33" s="199"/>
      <c r="D33" s="192"/>
      <c r="E33" s="195"/>
    </row>
    <row r="34" spans="1:5" x14ac:dyDescent="0.2">
      <c r="A34" s="182" t="s">
        <v>177</v>
      </c>
      <c r="B34" s="182" t="s">
        <v>77</v>
      </c>
      <c r="C34" s="194">
        <f>'Professional services'!B10+'Professional services'!B23+'Professional services'!B30+'Professional services'!B46+'Professional services'!B58</f>
        <v>142770</v>
      </c>
      <c r="D34" s="201"/>
      <c r="E34" s="195">
        <f>C34/$C$5</f>
        <v>436.60550458715596</v>
      </c>
    </row>
    <row r="35" spans="1:5" x14ac:dyDescent="0.2">
      <c r="A35" s="182"/>
      <c r="B35" s="182" t="s">
        <v>196</v>
      </c>
      <c r="C35" s="194">
        <f>'Professional services'!B66+'Professional services'!B80+'Professional services'!B89+'Professional services'!B98</f>
        <v>122966</v>
      </c>
      <c r="D35" s="201"/>
      <c r="E35" s="195">
        <f>C35/$C$5</f>
        <v>376.04281345565749</v>
      </c>
    </row>
    <row r="36" spans="1:5" x14ac:dyDescent="0.2">
      <c r="A36" s="182"/>
      <c r="B36" s="182"/>
      <c r="C36" s="199"/>
      <c r="D36" s="201"/>
      <c r="E36" s="195"/>
    </row>
    <row r="37" spans="1:5" x14ac:dyDescent="0.2">
      <c r="A37" s="182" t="s">
        <v>197</v>
      </c>
      <c r="B37" s="182"/>
      <c r="C37" s="194">
        <f>'Property services'!B99</f>
        <v>524951</v>
      </c>
      <c r="D37" s="201"/>
      <c r="E37" s="195">
        <f>C37/$C$5</f>
        <v>1605.3547400611621</v>
      </c>
    </row>
    <row r="38" spans="1:5" x14ac:dyDescent="0.2">
      <c r="A38" s="182" t="s">
        <v>178</v>
      </c>
      <c r="B38" s="182"/>
      <c r="C38" s="194">
        <f>'Supplies Textbooks'!B74</f>
        <v>48000</v>
      </c>
      <c r="D38" s="201"/>
      <c r="E38" s="195">
        <f>C38/$C$5</f>
        <v>146.78899082568807</v>
      </c>
    </row>
    <row r="39" spans="1:5" x14ac:dyDescent="0.2">
      <c r="A39" s="182"/>
      <c r="B39" s="182"/>
      <c r="C39" s="194"/>
      <c r="D39" s="201"/>
      <c r="E39" s="195"/>
    </row>
    <row r="40" spans="1:5" x14ac:dyDescent="0.2">
      <c r="A40" s="182" t="s">
        <v>179</v>
      </c>
      <c r="B40" s="182"/>
      <c r="C40" s="199">
        <f>'Other services'!B73</f>
        <v>110500</v>
      </c>
      <c r="D40" s="201"/>
      <c r="E40" s="195">
        <f>C40/$C$5</f>
        <v>337.92048929663611</v>
      </c>
    </row>
    <row r="41" spans="1:5" x14ac:dyDescent="0.2">
      <c r="A41" s="182" t="s">
        <v>199</v>
      </c>
      <c r="B41" s="182"/>
      <c r="C41" s="199">
        <f>'Other services'!B79</f>
        <v>179136.69</v>
      </c>
      <c r="D41" s="201"/>
      <c r="E41" s="195">
        <f>C41/$C$5</f>
        <v>547.81862385321097</v>
      </c>
    </row>
    <row r="42" spans="1:5" x14ac:dyDescent="0.2">
      <c r="A42" s="182" t="s">
        <v>15</v>
      </c>
      <c r="B42" s="182"/>
      <c r="C42" s="199">
        <f>'Other services'!B34+'Other services'!B62</f>
        <v>49614</v>
      </c>
      <c r="D42" s="201"/>
      <c r="E42" s="195">
        <f>C42/$C$5</f>
        <v>151.72477064220183</v>
      </c>
    </row>
    <row r="43" spans="1:5" x14ac:dyDescent="0.2">
      <c r="A43" s="186" t="s">
        <v>180</v>
      </c>
      <c r="B43" s="186"/>
      <c r="C43" s="199">
        <f>'Other services'!B7+'Other services'!B12+'Other services'!B17+'Other services'!B22+'Other services'!B36+'Other services'!B41+'Other services'!B50+'Other services'!B55+'Other services'!B57+'Other services'!B64</f>
        <v>10922</v>
      </c>
      <c r="D43" s="201"/>
      <c r="E43" s="195">
        <f>C43/$C$5</f>
        <v>33.400611620795104</v>
      </c>
    </row>
    <row r="44" spans="1:5" x14ac:dyDescent="0.2">
      <c r="A44" s="186"/>
      <c r="B44" s="186"/>
      <c r="C44" s="199"/>
      <c r="D44" s="201"/>
      <c r="E44" s="195"/>
    </row>
    <row r="45" spans="1:5" x14ac:dyDescent="0.2">
      <c r="A45" s="182" t="s">
        <v>198</v>
      </c>
      <c r="B45" s="203" t="s">
        <v>77</v>
      </c>
      <c r="C45" s="194">
        <f>'Supplies Textbooks'!B10+'Supplies Textbooks'!B27+'Supplies Textbooks'!B41</f>
        <v>24000</v>
      </c>
      <c r="D45" s="201"/>
      <c r="E45" s="195">
        <f>C45/$C$5</f>
        <v>73.394495412844037</v>
      </c>
    </row>
    <row r="46" spans="1:5" x14ac:dyDescent="0.2">
      <c r="A46" s="182"/>
      <c r="B46" s="182" t="s">
        <v>79</v>
      </c>
      <c r="C46" s="199">
        <f>'Supplies Textbooks'!B53+'Supplies Textbooks'!B60</f>
        <v>4500</v>
      </c>
      <c r="D46" s="201"/>
      <c r="E46" s="195">
        <f>C46/$C$5</f>
        <v>13.761467889908257</v>
      </c>
    </row>
    <row r="47" spans="1:5" x14ac:dyDescent="0.2">
      <c r="A47" s="182"/>
      <c r="B47" s="183" t="s">
        <v>196</v>
      </c>
      <c r="C47" s="199">
        <f>'Supplies Textbooks'!B67+'Supplies Textbooks'!B80</f>
        <v>12760</v>
      </c>
      <c r="D47" s="201"/>
      <c r="E47" s="195">
        <f>C47/$C$5</f>
        <v>39.021406727828747</v>
      </c>
    </row>
    <row r="48" spans="1:5" x14ac:dyDescent="0.2">
      <c r="A48" s="182"/>
      <c r="C48" s="199"/>
      <c r="D48" s="201"/>
      <c r="E48" s="195"/>
    </row>
    <row r="49" spans="1:5" x14ac:dyDescent="0.2">
      <c r="A49" s="182" t="s">
        <v>181</v>
      </c>
      <c r="B49" s="182"/>
      <c r="C49" s="199">
        <f>'Supplies Textbooks'!B20+'Supplies Textbooks'!B32+'Supplies Textbooks'!B46</f>
        <v>57638</v>
      </c>
      <c r="D49" s="201"/>
      <c r="E49" s="195">
        <f>C49/$C$5</f>
        <v>176.26299694189603</v>
      </c>
    </row>
    <row r="50" spans="1:5" x14ac:dyDescent="0.2">
      <c r="A50" s="182"/>
      <c r="B50" s="182"/>
      <c r="C50" s="199"/>
      <c r="D50" s="201"/>
      <c r="E50" s="195"/>
    </row>
    <row r="51" spans="1:5" x14ac:dyDescent="0.2">
      <c r="A51" s="182" t="s">
        <v>4</v>
      </c>
      <c r="B51" s="203" t="s">
        <v>77</v>
      </c>
      <c r="C51" s="199">
        <f>Equipment!B15+Equipment!B23+Equipment!B31</f>
        <v>36191.56</v>
      </c>
      <c r="D51" s="201"/>
      <c r="E51" s="195">
        <f>C51/$C$5</f>
        <v>110.67755351681957</v>
      </c>
    </row>
    <row r="52" spans="1:5" x14ac:dyDescent="0.2">
      <c r="A52" s="182"/>
      <c r="B52" s="182" t="s">
        <v>79</v>
      </c>
      <c r="C52" s="199">
        <f>Equipment!B40+Equipment!B47</f>
        <v>1000</v>
      </c>
      <c r="D52" s="201"/>
      <c r="E52" s="195">
        <f>C52/$C$5</f>
        <v>3.0581039755351682</v>
      </c>
    </row>
    <row r="53" spans="1:5" x14ac:dyDescent="0.2">
      <c r="A53" s="182"/>
      <c r="B53" s="183" t="s">
        <v>196</v>
      </c>
      <c r="C53" s="199">
        <f>Equipment!B55+Equipment!B62</f>
        <v>11000</v>
      </c>
      <c r="D53" s="201"/>
      <c r="E53" s="195">
        <f>C53/$C$5</f>
        <v>33.63914373088685</v>
      </c>
    </row>
    <row r="54" spans="1:5" x14ac:dyDescent="0.2">
      <c r="A54" s="182"/>
      <c r="B54" s="182"/>
      <c r="C54" s="199"/>
      <c r="D54" s="201"/>
      <c r="E54" s="195"/>
    </row>
    <row r="55" spans="1:5" x14ac:dyDescent="0.2">
      <c r="A55" s="182" t="s">
        <v>182</v>
      </c>
      <c r="B55" s="182"/>
      <c r="C55" s="194">
        <f>'Misc Exp'!B55</f>
        <v>11616.58</v>
      </c>
      <c r="D55" s="201"/>
      <c r="E55" s="195">
        <f>C55/$C$5</f>
        <v>35.524709480122326</v>
      </c>
    </row>
    <row r="56" spans="1:5" ht="15.75" thickBot="1" x14ac:dyDescent="0.25">
      <c r="A56" s="182"/>
      <c r="B56" s="182"/>
      <c r="C56" s="204"/>
      <c r="D56" s="182"/>
      <c r="E56" s="182"/>
    </row>
    <row r="57" spans="1:5" ht="16.5" thickBot="1" x14ac:dyDescent="0.3">
      <c r="A57" s="184" t="s">
        <v>183</v>
      </c>
      <c r="B57" s="184"/>
      <c r="C57" s="200">
        <f>SUM(C30:C56)</f>
        <v>2996230.2061666665</v>
      </c>
      <c r="D57" s="201"/>
      <c r="E57" s="200">
        <f>SUM(E30:E56)</f>
        <v>9162.7835050968388</v>
      </c>
    </row>
    <row r="58" spans="1:5" x14ac:dyDescent="0.2">
      <c r="B58" s="206"/>
      <c r="C58" s="182"/>
      <c r="D58" s="182"/>
      <c r="E58" s="182"/>
    </row>
    <row r="59" spans="1:5" ht="31.5" x14ac:dyDescent="0.25">
      <c r="A59" s="205" t="s">
        <v>241</v>
      </c>
      <c r="B59" s="182"/>
      <c r="C59" s="215">
        <f>C26-C57</f>
        <v>49220.403833333403</v>
      </c>
      <c r="D59" s="182"/>
      <c r="E59" s="182"/>
    </row>
    <row r="60" spans="1:5" ht="15.75" x14ac:dyDescent="0.25">
      <c r="A60" s="182"/>
      <c r="B60" s="186"/>
      <c r="C60" s="184"/>
      <c r="D60" s="182"/>
      <c r="E60" s="182"/>
    </row>
    <row r="61" spans="1:5" ht="15.75" x14ac:dyDescent="0.25">
      <c r="A61" s="231" t="s">
        <v>291</v>
      </c>
      <c r="B61" s="186"/>
      <c r="C61" s="234">
        <f>'Deferred Schedule 2016_2017'!D18</f>
        <v>99145</v>
      </c>
      <c r="D61" s="192"/>
      <c r="E61" s="195"/>
    </row>
    <row r="62" spans="1:5" ht="15.75" x14ac:dyDescent="0.25">
      <c r="A62" s="186"/>
      <c r="B62" s="232"/>
      <c r="C62" s="186"/>
      <c r="D62" s="182"/>
      <c r="E62" s="182"/>
    </row>
    <row r="63" spans="1:5" ht="15.75" x14ac:dyDescent="0.25">
      <c r="A63" s="231" t="s">
        <v>410</v>
      </c>
      <c r="C63" s="233">
        <f>C59-C61</f>
        <v>-49924.596166666597</v>
      </c>
      <c r="D63" s="182"/>
      <c r="E63" s="207"/>
    </row>
  </sheetData>
  <mergeCells count="1">
    <mergeCell ref="C5:E5"/>
  </mergeCells>
  <conditionalFormatting sqref="B61">
    <cfRule type="cellIs" priority="1" stopIfTrue="1" operator="notEqual">
      <formula>$C$51+$C$52+$C$53</formula>
    </cfRule>
  </conditionalFormatting>
  <pageMargins left="0.7" right="0.7" top="0.25" bottom="0.25" header="0.3" footer="0.3"/>
  <pageSetup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F134"/>
  <sheetViews>
    <sheetView workbookViewId="0">
      <selection activeCell="A14" sqref="A14"/>
    </sheetView>
  </sheetViews>
  <sheetFormatPr defaultColWidth="8.85546875" defaultRowHeight="15" x14ac:dyDescent="0.2"/>
  <cols>
    <col min="1" max="1" width="55.140625" style="31" bestFit="1" customWidth="1"/>
    <col min="2" max="2" width="13.28515625" style="31" customWidth="1"/>
    <col min="3" max="16384" width="8.85546875" style="31"/>
  </cols>
  <sheetData>
    <row r="1" spans="1:6" ht="15.75" x14ac:dyDescent="0.25">
      <c r="A1" s="65" t="s">
        <v>131</v>
      </c>
      <c r="B1" s="66"/>
    </row>
    <row r="2" spans="1:6" ht="15.75" x14ac:dyDescent="0.25">
      <c r="A2" s="65" t="s">
        <v>4</v>
      </c>
      <c r="B2" s="66"/>
    </row>
    <row r="3" spans="1:6" ht="15.75" x14ac:dyDescent="0.25">
      <c r="A3" s="65"/>
      <c r="B3" s="62"/>
    </row>
    <row r="4" spans="1:6" x14ac:dyDescent="0.2">
      <c r="A4" s="35"/>
      <c r="B4" s="36"/>
    </row>
    <row r="5" spans="1:6" ht="15.75" x14ac:dyDescent="0.25">
      <c r="A5" s="37" t="s">
        <v>82</v>
      </c>
      <c r="B5" s="38"/>
    </row>
    <row r="6" spans="1:6" ht="15.75" x14ac:dyDescent="0.25">
      <c r="A6" s="37"/>
      <c r="B6" s="38"/>
    </row>
    <row r="7" spans="1:6" x14ac:dyDescent="0.2">
      <c r="A7" s="39" t="s">
        <v>305</v>
      </c>
      <c r="B7" s="40">
        <f>8*1000</f>
        <v>8000</v>
      </c>
      <c r="D7" s="214"/>
      <c r="E7" s="214"/>
      <c r="F7" s="214"/>
    </row>
    <row r="8" spans="1:6" x14ac:dyDescent="0.2">
      <c r="A8" s="39" t="s">
        <v>306</v>
      </c>
      <c r="B8" s="40">
        <v>300</v>
      </c>
      <c r="D8" s="214"/>
      <c r="E8" s="214"/>
      <c r="F8" s="214"/>
    </row>
    <row r="9" spans="1:6" x14ac:dyDescent="0.2">
      <c r="A9" s="39" t="s">
        <v>310</v>
      </c>
      <c r="B9" s="40">
        <f>700*2</f>
        <v>1400</v>
      </c>
      <c r="D9" s="214"/>
      <c r="E9" s="214"/>
      <c r="F9" s="214"/>
    </row>
    <row r="10" spans="1:6" x14ac:dyDescent="0.2">
      <c r="A10" s="39" t="s">
        <v>311</v>
      </c>
      <c r="B10" s="40">
        <f>250*2</f>
        <v>500</v>
      </c>
      <c r="D10" s="214"/>
      <c r="E10" s="214"/>
      <c r="F10" s="214"/>
    </row>
    <row r="11" spans="1:6" x14ac:dyDescent="0.2">
      <c r="A11" s="39" t="s">
        <v>322</v>
      </c>
      <c r="B11" s="40">
        <v>11325</v>
      </c>
      <c r="C11" s="214"/>
      <c r="D11" s="214" t="s">
        <v>348</v>
      </c>
      <c r="E11" s="214"/>
    </row>
    <row r="12" spans="1:6" x14ac:dyDescent="0.2">
      <c r="A12" s="39" t="s">
        <v>408</v>
      </c>
      <c r="B12" s="40">
        <v>10021</v>
      </c>
    </row>
    <row r="13" spans="1:6" x14ac:dyDescent="0.2">
      <c r="A13" s="39" t="s">
        <v>411</v>
      </c>
      <c r="B13" s="40">
        <f>387.13*12</f>
        <v>4645.5599999999995</v>
      </c>
    </row>
    <row r="14" spans="1:6" x14ac:dyDescent="0.2">
      <c r="A14" s="39"/>
      <c r="B14" s="40"/>
    </row>
    <row r="15" spans="1:6" x14ac:dyDescent="0.2">
      <c r="A15" s="53" t="s">
        <v>4</v>
      </c>
      <c r="B15" s="64">
        <f>SUM(B7:B14)</f>
        <v>36191.56</v>
      </c>
    </row>
    <row r="16" spans="1:6" x14ac:dyDescent="0.2">
      <c r="A16" s="53"/>
      <c r="B16" s="40"/>
    </row>
    <row r="17" spans="1:2" x14ac:dyDescent="0.2">
      <c r="A17" s="53"/>
      <c r="B17" s="40"/>
    </row>
    <row r="18" spans="1:2" x14ac:dyDescent="0.2">
      <c r="A18" s="35"/>
      <c r="B18" s="36"/>
    </row>
    <row r="19" spans="1:2" ht="15.75" x14ac:dyDescent="0.25">
      <c r="A19" s="37" t="s">
        <v>83</v>
      </c>
      <c r="B19" s="36"/>
    </row>
    <row r="20" spans="1:2" x14ac:dyDescent="0.2">
      <c r="A20" s="39"/>
      <c r="B20" s="40"/>
    </row>
    <row r="21" spans="1:2" x14ac:dyDescent="0.2">
      <c r="A21" s="39"/>
      <c r="B21" s="40"/>
    </row>
    <row r="22" spans="1:2" x14ac:dyDescent="0.2">
      <c r="A22" s="39"/>
      <c r="B22" s="40"/>
    </row>
    <row r="23" spans="1:2" x14ac:dyDescent="0.2">
      <c r="A23" s="53" t="s">
        <v>4</v>
      </c>
      <c r="B23" s="64">
        <f>SUM(B20:B22)</f>
        <v>0</v>
      </c>
    </row>
    <row r="24" spans="1:2" x14ac:dyDescent="0.2">
      <c r="A24" s="53"/>
      <c r="B24" s="40"/>
    </row>
    <row r="25" spans="1:2" x14ac:dyDescent="0.2">
      <c r="A25" s="53"/>
      <c r="B25" s="40"/>
    </row>
    <row r="26" spans="1:2" x14ac:dyDescent="0.2">
      <c r="A26" s="35"/>
      <c r="B26" s="36"/>
    </row>
    <row r="27" spans="1:2" ht="15.75" x14ac:dyDescent="0.25">
      <c r="A27" s="37" t="s">
        <v>84</v>
      </c>
      <c r="B27" s="36"/>
    </row>
    <row r="28" spans="1:2" x14ac:dyDescent="0.2">
      <c r="A28" s="39"/>
      <c r="B28" s="40"/>
    </row>
    <row r="29" spans="1:2" x14ac:dyDescent="0.2">
      <c r="A29" s="39"/>
      <c r="B29" s="40"/>
    </row>
    <row r="30" spans="1:2" x14ac:dyDescent="0.2">
      <c r="A30" s="39"/>
      <c r="B30" s="40"/>
    </row>
    <row r="31" spans="1:2" x14ac:dyDescent="0.2">
      <c r="A31" s="53" t="s">
        <v>4</v>
      </c>
      <c r="B31" s="64">
        <f>SUM(B28:B30)</f>
        <v>0</v>
      </c>
    </row>
    <row r="32" spans="1:2" x14ac:dyDescent="0.2">
      <c r="A32" s="35"/>
      <c r="B32" s="36"/>
    </row>
    <row r="33" spans="1:2" x14ac:dyDescent="0.2">
      <c r="A33" s="35"/>
      <c r="B33" s="36"/>
    </row>
    <row r="34" spans="1:2" x14ac:dyDescent="0.2">
      <c r="A34" s="35"/>
      <c r="B34" s="36"/>
    </row>
    <row r="35" spans="1:2" ht="15.75" x14ac:dyDescent="0.25">
      <c r="A35" s="43" t="s">
        <v>88</v>
      </c>
      <c r="B35" s="47"/>
    </row>
    <row r="36" spans="1:2" x14ac:dyDescent="0.2">
      <c r="A36" s="39"/>
      <c r="B36" s="40"/>
    </row>
    <row r="37" spans="1:2" x14ac:dyDescent="0.2">
      <c r="A37" s="39" t="s">
        <v>290</v>
      </c>
      <c r="B37" s="40">
        <v>1000</v>
      </c>
    </row>
    <row r="38" spans="1:2" x14ac:dyDescent="0.2">
      <c r="A38" s="39"/>
      <c r="B38" s="40"/>
    </row>
    <row r="39" spans="1:2" x14ac:dyDescent="0.2">
      <c r="A39" s="39"/>
      <c r="B39" s="40"/>
    </row>
    <row r="40" spans="1:2" x14ac:dyDescent="0.2">
      <c r="A40" s="53" t="s">
        <v>4</v>
      </c>
      <c r="B40" s="64">
        <f>SUM(B36:B39)</f>
        <v>1000</v>
      </c>
    </row>
    <row r="41" spans="1:2" ht="15.75" x14ac:dyDescent="0.25">
      <c r="A41" s="48"/>
      <c r="B41" s="45"/>
    </row>
    <row r="42" spans="1:2" x14ac:dyDescent="0.2">
      <c r="A42" s="46"/>
      <c r="B42" s="47"/>
    </row>
    <row r="43" spans="1:2" ht="15.75" x14ac:dyDescent="0.25">
      <c r="A43" s="43" t="s">
        <v>89</v>
      </c>
      <c r="B43" s="47"/>
    </row>
    <row r="44" spans="1:2" x14ac:dyDescent="0.2">
      <c r="A44" s="39"/>
      <c r="B44" s="40"/>
    </row>
    <row r="45" spans="1:2" x14ac:dyDescent="0.2">
      <c r="A45" s="39"/>
      <c r="B45" s="40"/>
    </row>
    <row r="46" spans="1:2" x14ac:dyDescent="0.2">
      <c r="A46" s="39"/>
      <c r="B46" s="40"/>
    </row>
    <row r="47" spans="1:2" x14ac:dyDescent="0.2">
      <c r="A47" s="53" t="s">
        <v>4</v>
      </c>
      <c r="B47" s="64">
        <f>SUM(B44:B46)</f>
        <v>0</v>
      </c>
    </row>
    <row r="48" spans="1:2" ht="15.75" x14ac:dyDescent="0.25">
      <c r="A48" s="48"/>
      <c r="B48" s="45"/>
    </row>
    <row r="49" spans="1:2" x14ac:dyDescent="0.2">
      <c r="A49" s="49"/>
      <c r="B49" s="45"/>
    </row>
    <row r="50" spans="1:2" ht="15.75" x14ac:dyDescent="0.25">
      <c r="A50" s="48" t="s">
        <v>93</v>
      </c>
      <c r="B50" s="45"/>
    </row>
    <row r="51" spans="1:2" x14ac:dyDescent="0.2">
      <c r="A51" s="39"/>
      <c r="B51" s="45"/>
    </row>
    <row r="52" spans="1:2" x14ac:dyDescent="0.2">
      <c r="A52" s="39" t="s">
        <v>313</v>
      </c>
      <c r="B52" s="45">
        <v>5500</v>
      </c>
    </row>
    <row r="53" spans="1:2" x14ac:dyDescent="0.2">
      <c r="A53" s="39" t="s">
        <v>307</v>
      </c>
      <c r="B53" s="45">
        <v>4500</v>
      </c>
    </row>
    <row r="54" spans="1:2" x14ac:dyDescent="0.2">
      <c r="A54" s="39"/>
      <c r="B54" s="45"/>
    </row>
    <row r="55" spans="1:2" x14ac:dyDescent="0.2">
      <c r="A55" s="53" t="s">
        <v>4</v>
      </c>
      <c r="B55" s="64">
        <f>SUM(B51:B54)</f>
        <v>10000</v>
      </c>
    </row>
    <row r="56" spans="1:2" x14ac:dyDescent="0.2">
      <c r="A56" s="53"/>
      <c r="B56" s="40"/>
    </row>
    <row r="57" spans="1:2" x14ac:dyDescent="0.2">
      <c r="A57" s="56"/>
      <c r="B57" s="40"/>
    </row>
    <row r="58" spans="1:2" ht="15.75" x14ac:dyDescent="0.25">
      <c r="A58" s="48" t="s">
        <v>96</v>
      </c>
      <c r="B58" s="45"/>
    </row>
    <row r="59" spans="1:2" x14ac:dyDescent="0.2">
      <c r="A59" s="39"/>
      <c r="B59" s="45"/>
    </row>
    <row r="60" spans="1:2" x14ac:dyDescent="0.2">
      <c r="A60" s="39" t="s">
        <v>309</v>
      </c>
      <c r="B60" s="45">
        <f>2*500</f>
        <v>1000</v>
      </c>
    </row>
    <row r="61" spans="1:2" x14ac:dyDescent="0.2">
      <c r="A61" s="39"/>
      <c r="B61" s="45"/>
    </row>
    <row r="62" spans="1:2" x14ac:dyDescent="0.2">
      <c r="A62" s="53" t="s">
        <v>4</v>
      </c>
      <c r="B62" s="64">
        <f>SUM(B59:B61)</f>
        <v>1000</v>
      </c>
    </row>
    <row r="63" spans="1:2" x14ac:dyDescent="0.2">
      <c r="A63" s="46"/>
      <c r="B63" s="47"/>
    </row>
    <row r="64" spans="1:2" x14ac:dyDescent="0.2">
      <c r="A64" s="46"/>
      <c r="B64" s="47"/>
    </row>
    <row r="65" spans="1:2" ht="16.5" thickBot="1" x14ac:dyDescent="0.3">
      <c r="A65" s="50" t="s">
        <v>205</v>
      </c>
      <c r="B65" s="52">
        <f>B62+B55+B47+B40+B31+B23+B15</f>
        <v>48191.56</v>
      </c>
    </row>
    <row r="66" spans="1:2" ht="15.75" thickTop="1" x14ac:dyDescent="0.2">
      <c r="A66" s="46"/>
      <c r="B66" s="47"/>
    </row>
    <row r="67" spans="1:2" x14ac:dyDescent="0.2">
      <c r="A67" s="46"/>
      <c r="B67" s="47"/>
    </row>
    <row r="68" spans="1:2" x14ac:dyDescent="0.2">
      <c r="A68" s="46"/>
      <c r="B68" s="47"/>
    </row>
    <row r="69" spans="1:2" x14ac:dyDescent="0.2">
      <c r="A69" s="46"/>
      <c r="B69" s="47"/>
    </row>
    <row r="70" spans="1:2" x14ac:dyDescent="0.2">
      <c r="A70" s="46"/>
      <c r="B70" s="47"/>
    </row>
    <row r="71" spans="1:2" x14ac:dyDescent="0.2">
      <c r="A71" s="46"/>
      <c r="B71" s="47"/>
    </row>
    <row r="72" spans="1:2" x14ac:dyDescent="0.2">
      <c r="A72" s="46"/>
      <c r="B72" s="47"/>
    </row>
    <row r="73" spans="1:2" x14ac:dyDescent="0.2">
      <c r="A73" s="46"/>
      <c r="B73" s="47"/>
    </row>
    <row r="74" spans="1:2" x14ac:dyDescent="0.2">
      <c r="A74" s="46"/>
      <c r="B74" s="47"/>
    </row>
    <row r="75" spans="1:2" x14ac:dyDescent="0.2">
      <c r="A75" s="46"/>
      <c r="B75" s="47"/>
    </row>
    <row r="76" spans="1:2" x14ac:dyDescent="0.2">
      <c r="A76" s="46"/>
      <c r="B76" s="47"/>
    </row>
    <row r="77" spans="1:2" x14ac:dyDescent="0.2">
      <c r="A77" s="46"/>
      <c r="B77" s="47"/>
    </row>
    <row r="78" spans="1:2" x14ac:dyDescent="0.2">
      <c r="A78" s="46"/>
      <c r="B78" s="47"/>
    </row>
    <row r="79" spans="1:2" x14ac:dyDescent="0.2">
      <c r="A79" s="46"/>
      <c r="B79" s="47"/>
    </row>
    <row r="80" spans="1:2" x14ac:dyDescent="0.2">
      <c r="A80" s="46"/>
      <c r="B80" s="47"/>
    </row>
    <row r="81" spans="1:2" x14ac:dyDescent="0.2">
      <c r="A81" s="46"/>
      <c r="B81" s="47"/>
    </row>
    <row r="82" spans="1:2" x14ac:dyDescent="0.2">
      <c r="A82" s="46"/>
      <c r="B82" s="47"/>
    </row>
    <row r="83" spans="1:2" x14ac:dyDescent="0.2">
      <c r="A83" s="46"/>
      <c r="B83" s="47"/>
    </row>
    <row r="84" spans="1:2" x14ac:dyDescent="0.2">
      <c r="A84" s="46"/>
      <c r="B84" s="47"/>
    </row>
    <row r="85" spans="1:2" x14ac:dyDescent="0.2">
      <c r="A85" s="46"/>
      <c r="B85" s="47"/>
    </row>
    <row r="86" spans="1:2" x14ac:dyDescent="0.2">
      <c r="A86" s="46"/>
      <c r="B86" s="47"/>
    </row>
    <row r="87" spans="1:2" x14ac:dyDescent="0.2">
      <c r="A87" s="46"/>
      <c r="B87" s="47"/>
    </row>
    <row r="88" spans="1:2" x14ac:dyDescent="0.2">
      <c r="A88" s="46"/>
      <c r="B88" s="47"/>
    </row>
    <row r="89" spans="1:2" x14ac:dyDescent="0.2">
      <c r="A89" s="46"/>
      <c r="B89" s="47"/>
    </row>
    <row r="90" spans="1:2" x14ac:dyDescent="0.2">
      <c r="A90" s="46"/>
      <c r="B90" s="47"/>
    </row>
    <row r="91" spans="1:2" x14ac:dyDescent="0.2">
      <c r="A91" s="46"/>
      <c r="B91" s="47"/>
    </row>
    <row r="92" spans="1:2" x14ac:dyDescent="0.2">
      <c r="A92" s="46"/>
      <c r="B92" s="47"/>
    </row>
    <row r="93" spans="1:2" x14ac:dyDescent="0.2">
      <c r="A93" s="46"/>
      <c r="B93" s="47"/>
    </row>
    <row r="94" spans="1:2" x14ac:dyDescent="0.2">
      <c r="A94" s="46"/>
      <c r="B94" s="47"/>
    </row>
    <row r="95" spans="1:2" x14ac:dyDescent="0.2">
      <c r="A95" s="46"/>
      <c r="B95" s="47"/>
    </row>
    <row r="96" spans="1:2" x14ac:dyDescent="0.2">
      <c r="A96" s="46"/>
      <c r="B96" s="47"/>
    </row>
    <row r="97" spans="1:2" x14ac:dyDescent="0.2">
      <c r="A97" s="46"/>
      <c r="B97" s="47"/>
    </row>
    <row r="98" spans="1:2" x14ac:dyDescent="0.2">
      <c r="A98" s="46"/>
      <c r="B98" s="47"/>
    </row>
    <row r="99" spans="1:2" x14ac:dyDescent="0.2">
      <c r="A99" s="46"/>
      <c r="B99" s="47"/>
    </row>
    <row r="100" spans="1:2" x14ac:dyDescent="0.2">
      <c r="A100" s="46"/>
      <c r="B100" s="47"/>
    </row>
    <row r="101" spans="1:2" x14ac:dyDescent="0.2">
      <c r="A101" s="46"/>
      <c r="B101" s="47"/>
    </row>
    <row r="102" spans="1:2" x14ac:dyDescent="0.2">
      <c r="A102" s="46"/>
      <c r="B102" s="47"/>
    </row>
    <row r="103" spans="1:2" x14ac:dyDescent="0.2">
      <c r="A103" s="46"/>
      <c r="B103" s="47"/>
    </row>
    <row r="104" spans="1:2" x14ac:dyDescent="0.2">
      <c r="A104" s="46"/>
      <c r="B104" s="47"/>
    </row>
    <row r="105" spans="1:2" x14ac:dyDescent="0.2">
      <c r="A105" s="46"/>
      <c r="B105" s="47"/>
    </row>
    <row r="106" spans="1:2" x14ac:dyDescent="0.2">
      <c r="A106" s="46"/>
      <c r="B106" s="47"/>
    </row>
    <row r="107" spans="1:2" x14ac:dyDescent="0.2">
      <c r="A107" s="46"/>
      <c r="B107" s="47"/>
    </row>
    <row r="108" spans="1:2" x14ac:dyDescent="0.2">
      <c r="A108" s="46"/>
      <c r="B108" s="47"/>
    </row>
    <row r="109" spans="1:2" x14ac:dyDescent="0.2">
      <c r="A109" s="46"/>
      <c r="B109" s="47"/>
    </row>
    <row r="110" spans="1:2" x14ac:dyDescent="0.2">
      <c r="A110" s="46"/>
      <c r="B110" s="47"/>
    </row>
    <row r="111" spans="1:2" x14ac:dyDescent="0.2">
      <c r="A111" s="46"/>
      <c r="B111" s="47"/>
    </row>
    <row r="112" spans="1:2" x14ac:dyDescent="0.2">
      <c r="A112" s="46"/>
      <c r="B112" s="47"/>
    </row>
    <row r="113" spans="1:2" x14ac:dyDescent="0.2">
      <c r="A113" s="46"/>
      <c r="B113" s="47"/>
    </row>
    <row r="114" spans="1:2" x14ac:dyDescent="0.2">
      <c r="A114" s="46"/>
      <c r="B114" s="47"/>
    </row>
    <row r="115" spans="1:2" x14ac:dyDescent="0.2">
      <c r="A115" s="46"/>
      <c r="B115" s="47"/>
    </row>
    <row r="116" spans="1:2" x14ac:dyDescent="0.2">
      <c r="A116" s="46"/>
      <c r="B116" s="47"/>
    </row>
    <row r="117" spans="1:2" x14ac:dyDescent="0.2">
      <c r="A117" s="46"/>
      <c r="B117" s="47"/>
    </row>
    <row r="118" spans="1:2" x14ac:dyDescent="0.2">
      <c r="A118" s="46"/>
      <c r="B118" s="47"/>
    </row>
    <row r="119" spans="1:2" x14ac:dyDescent="0.2">
      <c r="A119" s="46"/>
      <c r="B119" s="47"/>
    </row>
    <row r="120" spans="1:2" x14ac:dyDescent="0.2">
      <c r="A120" s="46"/>
      <c r="B120" s="47"/>
    </row>
    <row r="121" spans="1:2" x14ac:dyDescent="0.2">
      <c r="A121" s="46"/>
      <c r="B121" s="47"/>
    </row>
    <row r="122" spans="1:2" x14ac:dyDescent="0.2">
      <c r="A122" s="46"/>
      <c r="B122" s="47"/>
    </row>
    <row r="123" spans="1:2" x14ac:dyDescent="0.2">
      <c r="A123" s="46"/>
      <c r="B123" s="47"/>
    </row>
    <row r="124" spans="1:2" x14ac:dyDescent="0.2">
      <c r="A124" s="46"/>
      <c r="B124" s="47"/>
    </row>
    <row r="125" spans="1:2" x14ac:dyDescent="0.2">
      <c r="A125" s="46"/>
      <c r="B125" s="47"/>
    </row>
    <row r="126" spans="1:2" x14ac:dyDescent="0.2">
      <c r="A126" s="46"/>
      <c r="B126" s="47"/>
    </row>
    <row r="127" spans="1:2" x14ac:dyDescent="0.2">
      <c r="A127" s="46"/>
      <c r="B127" s="47"/>
    </row>
    <row r="128" spans="1:2" x14ac:dyDescent="0.2">
      <c r="A128" s="46"/>
      <c r="B128" s="47"/>
    </row>
    <row r="129" spans="1:2" x14ac:dyDescent="0.2">
      <c r="A129" s="46"/>
      <c r="B129" s="47"/>
    </row>
    <row r="130" spans="1:2" x14ac:dyDescent="0.2">
      <c r="A130" s="46"/>
      <c r="B130" s="47"/>
    </row>
    <row r="131" spans="1:2" x14ac:dyDescent="0.2">
      <c r="A131" s="46"/>
      <c r="B131" s="47"/>
    </row>
    <row r="132" spans="1:2" x14ac:dyDescent="0.2">
      <c r="A132" s="46"/>
      <c r="B132" s="47"/>
    </row>
    <row r="133" spans="1:2" x14ac:dyDescent="0.2">
      <c r="A133" s="46"/>
      <c r="B133" s="47"/>
    </row>
    <row r="134" spans="1:2" x14ac:dyDescent="0.2">
      <c r="A134" s="46"/>
      <c r="B134" s="47"/>
    </row>
  </sheetData>
  <pageMargins left="0.75" right="0.75" top="1" bottom="1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D58"/>
  <sheetViews>
    <sheetView topLeftCell="A34" workbookViewId="0">
      <selection activeCell="A56" sqref="A56"/>
    </sheetView>
  </sheetViews>
  <sheetFormatPr defaultColWidth="8.85546875" defaultRowHeight="12.75" x14ac:dyDescent="0.2"/>
  <cols>
    <col min="1" max="1" width="49.85546875" bestFit="1" customWidth="1"/>
    <col min="2" max="2" width="11" bestFit="1" customWidth="1"/>
  </cols>
  <sheetData>
    <row r="1" spans="1:2" ht="18" x14ac:dyDescent="0.25">
      <c r="A1" s="33" t="str">
        <f>Equipment!A1</f>
        <v>Tangi Academy</v>
      </c>
      <c r="B1" s="34"/>
    </row>
    <row r="2" spans="1:2" ht="18" x14ac:dyDescent="0.25">
      <c r="A2" s="33" t="s">
        <v>109</v>
      </c>
      <c r="B2" s="34"/>
    </row>
    <row r="3" spans="1:2" ht="18" x14ac:dyDescent="0.25">
      <c r="A3" s="33"/>
      <c r="B3" s="62"/>
    </row>
    <row r="4" spans="1:2" ht="15" x14ac:dyDescent="0.2">
      <c r="A4" s="35"/>
      <c r="B4" s="36"/>
    </row>
    <row r="5" spans="1:2" ht="15.75" x14ac:dyDescent="0.25">
      <c r="A5" s="37" t="s">
        <v>82</v>
      </c>
      <c r="B5" s="38"/>
    </row>
    <row r="6" spans="1:2" ht="15" x14ac:dyDescent="0.2">
      <c r="A6" s="39"/>
      <c r="B6" s="40"/>
    </row>
    <row r="7" spans="1:2" ht="15" x14ac:dyDescent="0.2">
      <c r="A7" s="39"/>
      <c r="B7" s="40"/>
    </row>
    <row r="8" spans="1:2" ht="15" x14ac:dyDescent="0.2">
      <c r="A8" s="39"/>
      <c r="B8" s="40"/>
    </row>
    <row r="9" spans="1:2" ht="15" x14ac:dyDescent="0.2">
      <c r="A9" s="39"/>
      <c r="B9" s="40"/>
    </row>
    <row r="10" spans="1:2" ht="15" x14ac:dyDescent="0.2">
      <c r="A10" s="39"/>
      <c r="B10" s="40"/>
    </row>
    <row r="11" spans="1:2" ht="15" x14ac:dyDescent="0.2">
      <c r="A11" s="53" t="s">
        <v>114</v>
      </c>
      <c r="B11" s="60">
        <f>SUM(B6:B9)</f>
        <v>0</v>
      </c>
    </row>
    <row r="12" spans="1:2" ht="15" x14ac:dyDescent="0.2">
      <c r="A12" s="39"/>
      <c r="B12" s="40"/>
    </row>
    <row r="13" spans="1:2" ht="15.75" x14ac:dyDescent="0.25">
      <c r="A13" s="42" t="s">
        <v>83</v>
      </c>
      <c r="B13" s="40"/>
    </row>
    <row r="14" spans="1:2" ht="15" x14ac:dyDescent="0.2">
      <c r="A14" s="39"/>
      <c r="B14" s="40"/>
    </row>
    <row r="15" spans="1:2" ht="15" x14ac:dyDescent="0.2">
      <c r="A15" s="39"/>
      <c r="B15" s="40"/>
    </row>
    <row r="16" spans="1:2" ht="15" x14ac:dyDescent="0.2">
      <c r="A16" s="39"/>
      <c r="B16" s="40"/>
    </row>
    <row r="17" spans="1:2" ht="15" x14ac:dyDescent="0.2">
      <c r="A17" s="39"/>
      <c r="B17" s="40"/>
    </row>
    <row r="18" spans="1:2" ht="15" x14ac:dyDescent="0.2">
      <c r="A18" s="39"/>
      <c r="B18" s="40"/>
    </row>
    <row r="19" spans="1:2" ht="15" x14ac:dyDescent="0.2">
      <c r="A19" s="53" t="s">
        <v>114</v>
      </c>
      <c r="B19" s="60">
        <f>SUM(B14:B18)</f>
        <v>0</v>
      </c>
    </row>
    <row r="20" spans="1:2" ht="15" x14ac:dyDescent="0.2">
      <c r="A20" s="39"/>
      <c r="B20" s="40"/>
    </row>
    <row r="21" spans="1:2" ht="15.75" x14ac:dyDescent="0.25">
      <c r="A21" s="42" t="s">
        <v>84</v>
      </c>
      <c r="B21" s="40"/>
    </row>
    <row r="22" spans="1:2" ht="15" x14ac:dyDescent="0.2">
      <c r="A22" s="39"/>
      <c r="B22" s="40"/>
    </row>
    <row r="23" spans="1:2" ht="15" x14ac:dyDescent="0.2">
      <c r="A23" s="39"/>
      <c r="B23" s="40"/>
    </row>
    <row r="24" spans="1:2" ht="15" x14ac:dyDescent="0.2">
      <c r="A24" s="39"/>
      <c r="B24" s="40"/>
    </row>
    <row r="25" spans="1:2" ht="15" x14ac:dyDescent="0.2">
      <c r="B25" s="40"/>
    </row>
    <row r="26" spans="1:2" ht="15" x14ac:dyDescent="0.2">
      <c r="A26" s="53" t="s">
        <v>114</v>
      </c>
      <c r="B26" s="60">
        <f>SUM(B22:B25)</f>
        <v>0</v>
      </c>
    </row>
    <row r="27" spans="1:2" ht="15" x14ac:dyDescent="0.2">
      <c r="A27" s="35"/>
      <c r="B27" s="36"/>
    </row>
    <row r="28" spans="1:2" ht="15.75" x14ac:dyDescent="0.25">
      <c r="A28" s="42" t="s">
        <v>87</v>
      </c>
      <c r="B28" s="45"/>
    </row>
    <row r="29" spans="1:2" ht="15" x14ac:dyDescent="0.2">
      <c r="A29" s="49" t="s">
        <v>133</v>
      </c>
      <c r="B29" s="41">
        <f>'Budget Summary'!C11*0.0025</f>
        <v>6716.58</v>
      </c>
    </row>
    <row r="30" spans="1:2" ht="15" x14ac:dyDescent="0.2">
      <c r="A30" s="49"/>
      <c r="B30" s="40"/>
    </row>
    <row r="31" spans="1:2" ht="15" x14ac:dyDescent="0.2">
      <c r="A31" s="46"/>
      <c r="B31" s="47"/>
    </row>
    <row r="32" spans="1:2" ht="15.75" x14ac:dyDescent="0.25">
      <c r="A32" s="43" t="s">
        <v>88</v>
      </c>
      <c r="B32" s="47"/>
    </row>
    <row r="33" spans="1:4" ht="15" x14ac:dyDescent="0.2">
      <c r="A33" s="49"/>
      <c r="B33" s="45"/>
    </row>
    <row r="34" spans="1:4" ht="15" x14ac:dyDescent="0.2">
      <c r="A34" s="49" t="s">
        <v>349</v>
      </c>
      <c r="B34" s="45">
        <v>1000</v>
      </c>
    </row>
    <row r="35" spans="1:4" ht="15" x14ac:dyDescent="0.2">
      <c r="A35" s="49"/>
      <c r="B35" s="45"/>
    </row>
    <row r="36" spans="1:4" ht="15" x14ac:dyDescent="0.2">
      <c r="A36" s="49"/>
      <c r="B36" s="45"/>
    </row>
    <row r="37" spans="1:4" ht="15" x14ac:dyDescent="0.2">
      <c r="A37" s="53" t="s">
        <v>114</v>
      </c>
      <c r="B37" s="60">
        <f>SUM(B33:B36)</f>
        <v>1000</v>
      </c>
    </row>
    <row r="38" spans="1:4" ht="15" x14ac:dyDescent="0.2">
      <c r="A38" s="46"/>
      <c r="B38" s="47"/>
    </row>
    <row r="39" spans="1:4" ht="15.75" x14ac:dyDescent="0.25">
      <c r="A39" s="43" t="s">
        <v>89</v>
      </c>
      <c r="B39" s="47"/>
    </row>
    <row r="40" spans="1:4" ht="15" x14ac:dyDescent="0.2">
      <c r="A40" s="51"/>
      <c r="B40" s="45"/>
    </row>
    <row r="41" spans="1:4" ht="15" x14ac:dyDescent="0.2">
      <c r="A41" s="49" t="s">
        <v>200</v>
      </c>
      <c r="B41" s="45">
        <f>65000*0.06</f>
        <v>3900</v>
      </c>
      <c r="D41" t="s">
        <v>201</v>
      </c>
    </row>
    <row r="42" spans="1:4" ht="15" x14ac:dyDescent="0.2">
      <c r="A42" s="49"/>
      <c r="B42" s="45"/>
    </row>
    <row r="43" spans="1:4" ht="15" x14ac:dyDescent="0.2">
      <c r="A43" s="49"/>
      <c r="B43" s="45"/>
    </row>
    <row r="44" spans="1:4" ht="15" x14ac:dyDescent="0.2">
      <c r="A44" s="53" t="s">
        <v>114</v>
      </c>
      <c r="B44" s="60">
        <f>SUM(B40:B43)</f>
        <v>3900</v>
      </c>
    </row>
    <row r="45" spans="1:4" ht="15" x14ac:dyDescent="0.2">
      <c r="A45" s="49"/>
      <c r="B45" s="45"/>
    </row>
    <row r="46" spans="1:4" ht="15.75" x14ac:dyDescent="0.25">
      <c r="A46" s="48" t="s">
        <v>110</v>
      </c>
      <c r="B46" s="45"/>
    </row>
    <row r="47" spans="1:4" ht="15" x14ac:dyDescent="0.2">
      <c r="A47" s="49"/>
      <c r="B47" s="45"/>
    </row>
    <row r="48" spans="1:4" ht="15" x14ac:dyDescent="0.2">
      <c r="A48" s="49"/>
      <c r="B48" s="45"/>
    </row>
    <row r="49" spans="1:2" ht="15" x14ac:dyDescent="0.2">
      <c r="A49" s="49"/>
      <c r="B49" s="45"/>
    </row>
    <row r="50" spans="1:2" ht="15" x14ac:dyDescent="0.2">
      <c r="A50" s="53" t="s">
        <v>114</v>
      </c>
      <c r="B50" s="60">
        <f>SUM(B47:B49)</f>
        <v>0</v>
      </c>
    </row>
    <row r="51" spans="1:2" ht="15" x14ac:dyDescent="0.2">
      <c r="A51" s="46"/>
      <c r="B51" s="47"/>
    </row>
    <row r="52" spans="1:2" ht="15" x14ac:dyDescent="0.2">
      <c r="A52" s="46"/>
      <c r="B52" s="47"/>
    </row>
    <row r="53" spans="1:2" ht="15" x14ac:dyDescent="0.2">
      <c r="A53" s="46"/>
      <c r="B53" s="47"/>
    </row>
    <row r="54" spans="1:2" ht="15" x14ac:dyDescent="0.2">
      <c r="A54" s="46"/>
      <c r="B54" s="47"/>
    </row>
    <row r="55" spans="1:2" ht="16.5" thickBot="1" x14ac:dyDescent="0.3">
      <c r="A55" s="50" t="s">
        <v>111</v>
      </c>
      <c r="B55" s="52">
        <f>B50+B44+B37+B29+B26+B19+B11</f>
        <v>11616.58</v>
      </c>
    </row>
    <row r="56" spans="1:2" ht="15.75" thickTop="1" x14ac:dyDescent="0.2">
      <c r="A56" s="46"/>
      <c r="B56" s="47"/>
    </row>
    <row r="57" spans="1:2" ht="15" x14ac:dyDescent="0.2">
      <c r="A57" s="46"/>
      <c r="B57" s="47"/>
    </row>
    <row r="58" spans="1:2" ht="15" x14ac:dyDescent="0.2">
      <c r="A58" s="46"/>
      <c r="B58" s="47"/>
    </row>
  </sheetData>
  <pageMargins left="0.75" right="0.75" top="1" bottom="1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0"/>
  <sheetViews>
    <sheetView workbookViewId="0">
      <selection activeCell="D6" sqref="D6"/>
    </sheetView>
  </sheetViews>
  <sheetFormatPr defaultColWidth="9.140625" defaultRowHeight="10.5" x14ac:dyDescent="0.15"/>
  <cols>
    <col min="1" max="1" width="13.140625" style="161" customWidth="1"/>
    <col min="2" max="2" width="1.42578125" style="161" customWidth="1"/>
    <col min="3" max="3" width="16.5703125" style="161" customWidth="1"/>
    <col min="4" max="4" width="11.42578125" style="162" customWidth="1"/>
    <col min="5" max="5" width="1.5703125" style="163" customWidth="1"/>
    <col min="6" max="16384" width="9.140625" style="163"/>
  </cols>
  <sheetData>
    <row r="1" spans="1:7" x14ac:dyDescent="0.15">
      <c r="A1" s="160"/>
    </row>
    <row r="2" spans="1:7" x14ac:dyDescent="0.15">
      <c r="A2" s="161" t="s">
        <v>131</v>
      </c>
    </row>
    <row r="3" spans="1:7" ht="38.25" customHeight="1" x14ac:dyDescent="0.3">
      <c r="A3" s="164" t="s">
        <v>226</v>
      </c>
      <c r="B3" s="164"/>
      <c r="C3" s="164" t="s">
        <v>227</v>
      </c>
      <c r="D3" s="165" t="s">
        <v>228</v>
      </c>
      <c r="E3" s="166" t="s">
        <v>229</v>
      </c>
      <c r="F3" s="166"/>
    </row>
    <row r="5" spans="1:7" x14ac:dyDescent="0.15">
      <c r="A5" s="167"/>
      <c r="B5" s="167"/>
      <c r="C5" s="167"/>
    </row>
    <row r="6" spans="1:7" s="170" customFormat="1" ht="20.25" customHeight="1" x14ac:dyDescent="0.15">
      <c r="A6" s="168" t="s">
        <v>230</v>
      </c>
      <c r="B6" s="168"/>
      <c r="C6" s="168" t="s">
        <v>231</v>
      </c>
      <c r="D6" s="169">
        <v>24675</v>
      </c>
      <c r="E6" s="170" t="s">
        <v>229</v>
      </c>
      <c r="F6" s="178"/>
    </row>
    <row r="7" spans="1:7" x14ac:dyDescent="0.15">
      <c r="A7" s="167"/>
      <c r="B7" s="167"/>
      <c r="C7" s="167"/>
    </row>
    <row r="8" spans="1:7" ht="12.75" customHeight="1" x14ac:dyDescent="0.15">
      <c r="A8" s="167" t="s">
        <v>232</v>
      </c>
      <c r="B8" s="167"/>
      <c r="C8" s="167" t="s">
        <v>233</v>
      </c>
      <c r="D8" s="171">
        <v>24710</v>
      </c>
      <c r="F8" s="178"/>
      <c r="G8" s="178"/>
    </row>
    <row r="9" spans="1:7" x14ac:dyDescent="0.15">
      <c r="A9" s="167"/>
      <c r="B9" s="167"/>
      <c r="C9" s="167"/>
    </row>
    <row r="11" spans="1:7" ht="25.5" customHeight="1" x14ac:dyDescent="0.15">
      <c r="A11" s="167" t="s">
        <v>234</v>
      </c>
      <c r="B11" s="167"/>
      <c r="C11" s="167" t="s">
        <v>235</v>
      </c>
      <c r="D11" s="171">
        <f>6348-1600</f>
        <v>4748</v>
      </c>
    </row>
    <row r="12" spans="1:7" x14ac:dyDescent="0.15">
      <c r="A12" s="167"/>
      <c r="B12" s="167"/>
      <c r="C12" s="167"/>
    </row>
    <row r="13" spans="1:7" ht="12.75" customHeight="1" x14ac:dyDescent="0.15">
      <c r="A13" s="167" t="s">
        <v>236</v>
      </c>
      <c r="B13" s="167"/>
      <c r="C13" s="167" t="s">
        <v>237</v>
      </c>
      <c r="D13" s="171">
        <v>2417</v>
      </c>
    </row>
    <row r="14" spans="1:7" s="174" customFormat="1" x14ac:dyDescent="0.15">
      <c r="A14" s="173"/>
      <c r="B14" s="173"/>
      <c r="C14" s="173"/>
      <c r="D14" s="162"/>
    </row>
    <row r="15" spans="1:7" s="170" customFormat="1" ht="25.5" customHeight="1" x14ac:dyDescent="0.15">
      <c r="A15" s="168" t="s">
        <v>238</v>
      </c>
      <c r="B15" s="168"/>
      <c r="C15" s="168" t="s">
        <v>239</v>
      </c>
      <c r="D15" s="169">
        <v>42595</v>
      </c>
      <c r="F15" s="178"/>
    </row>
    <row r="16" spans="1:7" x14ac:dyDescent="0.15">
      <c r="A16" s="167"/>
      <c r="B16" s="167"/>
      <c r="C16" s="167"/>
    </row>
    <row r="17" spans="1:6" x14ac:dyDescent="0.15">
      <c r="A17" s="167"/>
      <c r="B17" s="167"/>
      <c r="C17" s="167"/>
    </row>
    <row r="18" spans="1:6" ht="12.75" x14ac:dyDescent="0.15">
      <c r="A18" s="167" t="s">
        <v>240</v>
      </c>
      <c r="B18" s="167"/>
      <c r="C18" s="167"/>
      <c r="D18" s="176">
        <f>SUM(D4:D17)</f>
        <v>99145</v>
      </c>
      <c r="E18" s="175" t="s">
        <v>229</v>
      </c>
      <c r="F18" s="180"/>
    </row>
    <row r="19" spans="1:6" x14ac:dyDescent="0.15">
      <c r="C19" s="161" t="s">
        <v>229</v>
      </c>
    </row>
    <row r="20" spans="1:6" x14ac:dyDescent="0.15">
      <c r="C20" s="177" t="s">
        <v>229</v>
      </c>
      <c r="D20" s="172"/>
    </row>
  </sheetData>
  <pageMargins left="0.2" right="0.2" top="0.5" bottom="0.5" header="0.05" footer="0.05"/>
  <pageSetup scale="75" orientation="landscape" r:id="rId1"/>
  <headerFooter>
    <oddHeader>&amp;F</oddHeader>
    <oddFooter>&amp;L&amp;6&amp;"Tahoma"Date:  &amp;D, &amp;T&amp;R&amp;6&amp;"Tahoma"Page:  &amp;P</oddFoot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48"/>
  <sheetViews>
    <sheetView topLeftCell="A22" workbookViewId="0">
      <selection activeCell="F47" sqref="F47:L47"/>
    </sheetView>
  </sheetViews>
  <sheetFormatPr defaultRowHeight="12.75" x14ac:dyDescent="0.2"/>
  <cols>
    <col min="1" max="1" width="45.140625" bestFit="1" customWidth="1"/>
    <col min="2" max="2" width="9.140625" style="118"/>
    <col min="3" max="3" width="3" customWidth="1"/>
    <col min="4" max="4" width="12.7109375" bestFit="1" customWidth="1"/>
    <col min="5" max="5" width="3" customWidth="1"/>
    <col min="6" max="7" width="11.85546875" bestFit="1" customWidth="1"/>
    <col min="8" max="8" width="9" customWidth="1"/>
    <col min="9" max="9" width="11" bestFit="1" customWidth="1"/>
    <col min="10" max="10" width="13.85546875" bestFit="1" customWidth="1"/>
    <col min="11" max="11" width="9.85546875" bestFit="1" customWidth="1"/>
    <col min="12" max="12" width="10.85546875" bestFit="1" customWidth="1"/>
    <col min="13" max="13" width="11" bestFit="1" customWidth="1"/>
  </cols>
  <sheetData>
    <row r="1" spans="1:13" ht="15.75" x14ac:dyDescent="0.25">
      <c r="A1" s="98" t="s">
        <v>131</v>
      </c>
      <c r="B1" s="115"/>
      <c r="C1" s="99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 x14ac:dyDescent="0.25">
      <c r="A2" s="98" t="s">
        <v>243</v>
      </c>
      <c r="B2" s="115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 x14ac:dyDescent="0.25">
      <c r="A3" s="98" t="s">
        <v>144</v>
      </c>
      <c r="B3" s="115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6.5" thickBot="1" x14ac:dyDescent="0.3">
      <c r="A4" s="98"/>
      <c r="B4" s="273" t="s">
        <v>244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15" x14ac:dyDescent="0.25">
      <c r="A5" s="101"/>
      <c r="B5" s="116"/>
      <c r="C5" s="102"/>
      <c r="D5" s="103"/>
      <c r="E5" s="104"/>
      <c r="F5" s="103"/>
      <c r="G5" s="103"/>
      <c r="H5" s="104"/>
      <c r="I5" s="274" t="s">
        <v>145</v>
      </c>
      <c r="J5" s="274"/>
      <c r="K5" s="274"/>
      <c r="L5" s="274"/>
      <c r="M5" s="274"/>
    </row>
    <row r="6" spans="1:13" ht="15" x14ac:dyDescent="0.25">
      <c r="A6" s="105"/>
      <c r="B6" s="117"/>
      <c r="C6" s="106"/>
      <c r="D6" s="107" t="s">
        <v>14</v>
      </c>
      <c r="E6" s="108"/>
      <c r="F6" s="275" t="s">
        <v>146</v>
      </c>
      <c r="G6" s="275"/>
      <c r="H6" s="108"/>
      <c r="I6" s="109"/>
      <c r="J6" s="109"/>
      <c r="K6" s="107"/>
      <c r="L6" s="107" t="s">
        <v>147</v>
      </c>
      <c r="M6" s="107" t="s">
        <v>14</v>
      </c>
    </row>
    <row r="7" spans="1:13" ht="15" x14ac:dyDescent="0.25">
      <c r="A7" s="105"/>
      <c r="B7" s="117" t="s">
        <v>148</v>
      </c>
      <c r="C7" s="106"/>
      <c r="D7" s="107" t="s">
        <v>1</v>
      </c>
      <c r="E7" s="108"/>
      <c r="F7" s="107" t="s">
        <v>5</v>
      </c>
      <c r="G7" s="107" t="s">
        <v>149</v>
      </c>
      <c r="H7" s="108"/>
      <c r="I7" s="107" t="s">
        <v>150</v>
      </c>
      <c r="J7" s="107" t="s">
        <v>151</v>
      </c>
      <c r="K7" s="107" t="s">
        <v>152</v>
      </c>
      <c r="L7" s="107" t="s">
        <v>153</v>
      </c>
      <c r="M7" s="107" t="s">
        <v>145</v>
      </c>
    </row>
    <row r="8" spans="1:13" ht="14.25" x14ac:dyDescent="0.2">
      <c r="A8" s="105"/>
      <c r="B8" s="116"/>
      <c r="C8" s="102"/>
      <c r="D8" s="103"/>
      <c r="E8" s="104"/>
      <c r="F8" s="103"/>
      <c r="G8" s="103"/>
      <c r="H8" s="104"/>
      <c r="I8" s="103"/>
      <c r="J8" s="103"/>
      <c r="K8" s="103"/>
      <c r="L8" s="103"/>
      <c r="M8" s="103"/>
    </row>
    <row r="9" spans="1:13" ht="15" x14ac:dyDescent="0.2">
      <c r="A9" s="229" t="s">
        <v>23</v>
      </c>
      <c r="B9" s="116"/>
      <c r="C9" s="102"/>
      <c r="D9" s="103"/>
      <c r="E9" s="104"/>
      <c r="F9" s="103"/>
      <c r="G9" s="103"/>
      <c r="H9" s="104"/>
      <c r="I9" s="103"/>
      <c r="J9" s="103"/>
      <c r="K9" s="103"/>
      <c r="L9" s="103"/>
      <c r="M9" s="103"/>
    </row>
    <row r="10" spans="1:13" ht="15" x14ac:dyDescent="0.2">
      <c r="A10" s="230" t="s">
        <v>154</v>
      </c>
      <c r="B10" s="116">
        <f>SUM(Staffing!F10:F11)</f>
        <v>2</v>
      </c>
      <c r="C10" s="102"/>
      <c r="D10" s="103">
        <f>SUM(Staffing!E10:E11)</f>
        <v>80000</v>
      </c>
      <c r="E10" s="104"/>
      <c r="F10" s="110">
        <f>D10*0.0145</f>
        <v>1160</v>
      </c>
      <c r="G10" s="110">
        <f>D10*0.062</f>
        <v>4960</v>
      </c>
      <c r="H10" s="104"/>
      <c r="I10" s="103">
        <f>B10*'Assumption Data'!$B$54</f>
        <v>10449.36</v>
      </c>
      <c r="J10" s="103">
        <f>D10*'Assumption Data'!$B$57</f>
        <v>1200</v>
      </c>
      <c r="K10" s="103">
        <f>B10*7700*'Assumption Data'!$B$58</f>
        <v>308</v>
      </c>
      <c r="L10" s="103">
        <f>D10*'Assumption Data'!$B$59</f>
        <v>720</v>
      </c>
      <c r="M10" s="103">
        <f t="shared" ref="M10:M43" si="0">SUM(I10:L10)</f>
        <v>12677.36</v>
      </c>
    </row>
    <row r="11" spans="1:13" ht="15" x14ac:dyDescent="0.2">
      <c r="A11" s="229" t="s">
        <v>184</v>
      </c>
      <c r="B11" s="116">
        <f>SUM(Staffing!F12:F13)</f>
        <v>2</v>
      </c>
      <c r="C11" s="102"/>
      <c r="D11" s="103">
        <f>SUM(Staffing!E12:E13)</f>
        <v>82000</v>
      </c>
      <c r="E11" s="104"/>
      <c r="F11" s="110">
        <f t="shared" ref="F11:F43" si="1">D11*0.0145</f>
        <v>1189</v>
      </c>
      <c r="G11" s="110">
        <f t="shared" ref="G11:G43" si="2">D11*0.062</f>
        <v>5084</v>
      </c>
      <c r="H11" s="104"/>
      <c r="I11" s="103">
        <f>B11*'Assumption Data'!$B$54</f>
        <v>10449.36</v>
      </c>
      <c r="J11" s="103">
        <f>D11*'Assumption Data'!$B$57</f>
        <v>1230</v>
      </c>
      <c r="K11" s="103">
        <f>B11*7700*'Assumption Data'!$B$58</f>
        <v>308</v>
      </c>
      <c r="L11" s="103">
        <f>D11*'Assumption Data'!$B$59</f>
        <v>738</v>
      </c>
      <c r="M11" s="103">
        <f t="shared" si="0"/>
        <v>12725.36</v>
      </c>
    </row>
    <row r="12" spans="1:13" ht="15" x14ac:dyDescent="0.2">
      <c r="A12" s="229" t="s">
        <v>185</v>
      </c>
      <c r="B12" s="116">
        <f>SUM(Staffing!F14:F15)</f>
        <v>2</v>
      </c>
      <c r="C12" s="102"/>
      <c r="D12" s="103">
        <f>SUM(Staffing!E14:E15)</f>
        <v>84478</v>
      </c>
      <c r="E12" s="104"/>
      <c r="F12" s="110">
        <f t="shared" si="1"/>
        <v>1224.931</v>
      </c>
      <c r="G12" s="110">
        <f t="shared" si="2"/>
        <v>5237.6359999999995</v>
      </c>
      <c r="H12" s="104"/>
      <c r="I12" s="103">
        <f>B12*'Assumption Data'!$B$54</f>
        <v>10449.36</v>
      </c>
      <c r="J12" s="103">
        <f>D12*'Assumption Data'!$B$57</f>
        <v>1267.1699999999998</v>
      </c>
      <c r="K12" s="103">
        <f>B12*7700*'Assumption Data'!$B$58</f>
        <v>308</v>
      </c>
      <c r="L12" s="103">
        <f>D12*'Assumption Data'!$B$59</f>
        <v>760.30199999999991</v>
      </c>
      <c r="M12" s="103">
        <f t="shared" si="0"/>
        <v>12784.832</v>
      </c>
    </row>
    <row r="13" spans="1:13" ht="15" x14ac:dyDescent="0.2">
      <c r="A13" s="229" t="s">
        <v>186</v>
      </c>
      <c r="B13" s="116">
        <f>SUM(Staffing!F16:F17)</f>
        <v>2</v>
      </c>
      <c r="C13" s="102"/>
      <c r="D13" s="103">
        <f>SUM(Staffing!E16:E17)</f>
        <v>82000</v>
      </c>
      <c r="E13" s="104"/>
      <c r="F13" s="110">
        <f t="shared" si="1"/>
        <v>1189</v>
      </c>
      <c r="G13" s="110">
        <f t="shared" si="2"/>
        <v>5084</v>
      </c>
      <c r="H13" s="104"/>
      <c r="I13" s="103">
        <f>B13*'Assumption Data'!$B$54</f>
        <v>10449.36</v>
      </c>
      <c r="J13" s="103">
        <f>D13*'Assumption Data'!$B$57</f>
        <v>1230</v>
      </c>
      <c r="K13" s="103">
        <f>B13*7700*'Assumption Data'!$B$58</f>
        <v>308</v>
      </c>
      <c r="L13" s="103">
        <f>D13*'Assumption Data'!$B$59</f>
        <v>738</v>
      </c>
      <c r="M13" s="103">
        <f t="shared" si="0"/>
        <v>12725.36</v>
      </c>
    </row>
    <row r="14" spans="1:13" ht="15" x14ac:dyDescent="0.2">
      <c r="A14" s="229" t="s">
        <v>187</v>
      </c>
      <c r="B14" s="116">
        <f>SUM(Staffing!F18:F19)</f>
        <v>2</v>
      </c>
      <c r="C14" s="102"/>
      <c r="D14" s="103">
        <f>SUM(Staffing!E18:E19)</f>
        <v>85000</v>
      </c>
      <c r="E14" s="104"/>
      <c r="F14" s="110">
        <f t="shared" si="1"/>
        <v>1232.5</v>
      </c>
      <c r="G14" s="110">
        <f t="shared" si="2"/>
        <v>5270</v>
      </c>
      <c r="H14" s="104"/>
      <c r="I14" s="103">
        <f>B14*'Assumption Data'!$B$54</f>
        <v>10449.36</v>
      </c>
      <c r="J14" s="103">
        <f>D14*'Assumption Data'!$B$57</f>
        <v>1275</v>
      </c>
      <c r="K14" s="103">
        <f>B14*7700*'Assumption Data'!$B$58</f>
        <v>308</v>
      </c>
      <c r="L14" s="103">
        <f>D14*'Assumption Data'!$B$59</f>
        <v>764.99999999999989</v>
      </c>
      <c r="M14" s="103">
        <f t="shared" si="0"/>
        <v>12797.36</v>
      </c>
    </row>
    <row r="15" spans="1:13" ht="15" x14ac:dyDescent="0.2">
      <c r="A15" s="229" t="s">
        <v>274</v>
      </c>
      <c r="B15" s="116">
        <f>SUM(Staffing!F20:F21)</f>
        <v>2</v>
      </c>
      <c r="C15" s="102"/>
      <c r="D15" s="103">
        <f>SUM(Staffing!E20:E21)</f>
        <v>83000</v>
      </c>
      <c r="E15" s="104"/>
      <c r="F15" s="110">
        <f t="shared" si="1"/>
        <v>1203.5</v>
      </c>
      <c r="G15" s="110">
        <f t="shared" si="2"/>
        <v>5146</v>
      </c>
      <c r="H15" s="104"/>
      <c r="I15" s="103">
        <f>B15*'Assumption Data'!$B$54</f>
        <v>10449.36</v>
      </c>
      <c r="J15" s="103">
        <f>D15*'Assumption Data'!$B$57</f>
        <v>1245</v>
      </c>
      <c r="K15" s="103">
        <f>B15*7700*'Assumption Data'!$B$58</f>
        <v>308</v>
      </c>
      <c r="L15" s="103">
        <f>D15*'Assumption Data'!$B$59</f>
        <v>747</v>
      </c>
      <c r="M15" s="103">
        <f t="shared" si="0"/>
        <v>12749.36</v>
      </c>
    </row>
    <row r="16" spans="1:13" ht="15" x14ac:dyDescent="0.2">
      <c r="A16" s="229" t="s">
        <v>188</v>
      </c>
      <c r="B16" s="116">
        <f>SUM(Staffing!F23:F25)</f>
        <v>2</v>
      </c>
      <c r="C16" s="102"/>
      <c r="D16" s="103">
        <f>SUM(Staffing!E23:E25)</f>
        <v>84872</v>
      </c>
      <c r="E16" s="104"/>
      <c r="F16" s="110">
        <f t="shared" si="1"/>
        <v>1230.644</v>
      </c>
      <c r="G16" s="110">
        <f t="shared" si="2"/>
        <v>5262.0640000000003</v>
      </c>
      <c r="H16" s="104"/>
      <c r="I16" s="103">
        <f>B16*'Assumption Data'!$B$54</f>
        <v>10449.36</v>
      </c>
      <c r="J16" s="103">
        <f>D16*'Assumption Data'!$B$57</f>
        <v>1273.08</v>
      </c>
      <c r="K16" s="103">
        <f>B16*7700*'Assumption Data'!$B$58</f>
        <v>308</v>
      </c>
      <c r="L16" s="103">
        <f>D16*'Assumption Data'!$B$59</f>
        <v>763.84799999999996</v>
      </c>
      <c r="M16" s="103">
        <f t="shared" si="0"/>
        <v>12794.288</v>
      </c>
    </row>
    <row r="17" spans="1:13" ht="15" x14ac:dyDescent="0.2">
      <c r="A17" s="229" t="s">
        <v>275</v>
      </c>
      <c r="B17" s="116">
        <f>Staffing!F27</f>
        <v>1</v>
      </c>
      <c r="C17" s="102"/>
      <c r="D17" s="103">
        <f>Staffing!E27</f>
        <v>18000</v>
      </c>
      <c r="E17" s="104"/>
      <c r="F17" s="110">
        <f t="shared" ref="F17" si="3">D17*0.0145</f>
        <v>261</v>
      </c>
      <c r="G17" s="110">
        <f t="shared" ref="G17" si="4">D17*0.062</f>
        <v>1116</v>
      </c>
      <c r="H17" s="104"/>
      <c r="I17" s="103">
        <f>B17*'Assumption Data'!$B$54</f>
        <v>5224.68</v>
      </c>
      <c r="J17" s="103">
        <f>D17*'Assumption Data'!$B$57</f>
        <v>270</v>
      </c>
      <c r="K17" s="103">
        <f>B17*7700*'Assumption Data'!$B$58</f>
        <v>154</v>
      </c>
      <c r="L17" s="103">
        <f>D17*'Assumption Data'!$B$59</f>
        <v>162</v>
      </c>
      <c r="M17" s="103">
        <f t="shared" ref="M17" si="5">SUM(I17:L17)</f>
        <v>5810.68</v>
      </c>
    </row>
    <row r="18" spans="1:13" ht="15" x14ac:dyDescent="0.2">
      <c r="A18" s="229" t="s">
        <v>189</v>
      </c>
      <c r="B18" s="116">
        <f>Staffing!F33</f>
        <v>0</v>
      </c>
      <c r="C18" s="102"/>
      <c r="D18" s="103">
        <f>Staffing!E34</f>
        <v>40000</v>
      </c>
      <c r="E18" s="104"/>
      <c r="F18" s="110">
        <f t="shared" si="1"/>
        <v>580</v>
      </c>
      <c r="G18" s="110">
        <f t="shared" si="2"/>
        <v>2480</v>
      </c>
      <c r="H18" s="104"/>
      <c r="I18" s="103">
        <f>B18*'Assumption Data'!$B$54</f>
        <v>0</v>
      </c>
      <c r="J18" s="103">
        <f>D18*'Assumption Data'!$B$57</f>
        <v>600</v>
      </c>
      <c r="K18" s="103">
        <f>B18*7700*'Assumption Data'!$B$58</f>
        <v>0</v>
      </c>
      <c r="L18" s="103">
        <f>D18*'Assumption Data'!$B$59</f>
        <v>360</v>
      </c>
      <c r="M18" s="103">
        <f t="shared" si="0"/>
        <v>960</v>
      </c>
    </row>
    <row r="19" spans="1:13" ht="15" x14ac:dyDescent="0.2">
      <c r="A19" s="229" t="s">
        <v>155</v>
      </c>
      <c r="B19" s="116">
        <f>SUM(Staffing!F36:F38)</f>
        <v>2.75</v>
      </c>
      <c r="C19" s="102"/>
      <c r="D19" s="103">
        <f>SUM(Staffing!E36:E38)</f>
        <v>52500</v>
      </c>
      <c r="E19" s="104"/>
      <c r="F19" s="110">
        <f t="shared" si="1"/>
        <v>761.25</v>
      </c>
      <c r="G19" s="110">
        <f t="shared" si="2"/>
        <v>3255</v>
      </c>
      <c r="H19" s="104"/>
      <c r="I19" s="103">
        <f>B19*'Assumption Data'!$B$54</f>
        <v>14367.87</v>
      </c>
      <c r="J19" s="103">
        <f>D19*'Assumption Data'!$B$57</f>
        <v>787.5</v>
      </c>
      <c r="K19" s="103">
        <f>B19*7700*'Assumption Data'!$B$58</f>
        <v>423.5</v>
      </c>
      <c r="L19" s="103">
        <f>D19*'Assumption Data'!$B$59</f>
        <v>472.49999999999994</v>
      </c>
      <c r="M19" s="103">
        <f t="shared" si="0"/>
        <v>16051.37</v>
      </c>
    </row>
    <row r="20" spans="1:13" ht="15" x14ac:dyDescent="0.2">
      <c r="A20" s="229"/>
      <c r="B20" s="116"/>
      <c r="C20" s="102"/>
      <c r="D20" s="103"/>
      <c r="E20" s="104"/>
      <c r="F20" s="110"/>
      <c r="G20" s="110"/>
      <c r="H20" s="104"/>
      <c r="I20" s="103"/>
      <c r="J20" s="103"/>
      <c r="K20" s="103"/>
      <c r="L20" s="103"/>
      <c r="M20" s="103"/>
    </row>
    <row r="21" spans="1:13" ht="15" x14ac:dyDescent="0.2">
      <c r="A21" s="229" t="s">
        <v>37</v>
      </c>
      <c r="B21" s="116"/>
      <c r="C21" s="102"/>
      <c r="D21" s="111"/>
      <c r="E21" s="112"/>
      <c r="F21" s="110"/>
      <c r="G21" s="110"/>
      <c r="H21" s="112"/>
      <c r="I21" s="103"/>
      <c r="J21" s="103"/>
      <c r="K21" s="103"/>
      <c r="L21" s="103"/>
      <c r="M21" s="103"/>
    </row>
    <row r="22" spans="1:13" ht="15" x14ac:dyDescent="0.2">
      <c r="A22" s="229" t="s">
        <v>156</v>
      </c>
      <c r="B22" s="116">
        <f>Staffing!F57</f>
        <v>3.083333333333333</v>
      </c>
      <c r="C22" s="102"/>
      <c r="D22" s="111">
        <f>Staffing!E57</f>
        <v>147267.33333333331</v>
      </c>
      <c r="E22" s="112"/>
      <c r="F22" s="110">
        <f t="shared" si="1"/>
        <v>2135.3763333333332</v>
      </c>
      <c r="G22" s="110">
        <f t="shared" si="2"/>
        <v>9130.5746666666655</v>
      </c>
      <c r="H22" s="112"/>
      <c r="I22" s="103">
        <f>B22*'Assumption Data'!$B$54</f>
        <v>16109.429999999998</v>
      </c>
      <c r="J22" s="103">
        <f>D22*'Assumption Data'!$B$57</f>
        <v>2209.0099999999998</v>
      </c>
      <c r="K22" s="103">
        <f>B22*7700*'Assumption Data'!$B$58</f>
        <v>474.83333333333331</v>
      </c>
      <c r="L22" s="103">
        <f>D22*'Assumption Data'!$B$59</f>
        <v>1325.4059999999997</v>
      </c>
      <c r="M22" s="103">
        <f t="shared" si="0"/>
        <v>20118.67933333333</v>
      </c>
    </row>
    <row r="23" spans="1:13" ht="15" x14ac:dyDescent="0.2">
      <c r="A23" s="229" t="s">
        <v>155</v>
      </c>
      <c r="B23" s="116">
        <f>Staffing!F67</f>
        <v>3</v>
      </c>
      <c r="C23" s="102"/>
      <c r="D23" s="111">
        <f>Staffing!E67</f>
        <v>63000</v>
      </c>
      <c r="E23" s="112"/>
      <c r="F23" s="110">
        <f t="shared" si="1"/>
        <v>913.5</v>
      </c>
      <c r="G23" s="110">
        <f t="shared" si="2"/>
        <v>3906</v>
      </c>
      <c r="H23" s="112"/>
      <c r="I23" s="103">
        <f>B23*'Assumption Data'!$B$54</f>
        <v>15674.04</v>
      </c>
      <c r="J23" s="103">
        <f>D23*'Assumption Data'!$B$57</f>
        <v>945</v>
      </c>
      <c r="K23" s="103">
        <f>B23*7700*'Assumption Data'!$B$58</f>
        <v>462</v>
      </c>
      <c r="L23" s="103">
        <f>D23*'Assumption Data'!$B$59</f>
        <v>567</v>
      </c>
      <c r="M23" s="103">
        <f t="shared" si="0"/>
        <v>17648.04</v>
      </c>
    </row>
    <row r="24" spans="1:13" ht="15" x14ac:dyDescent="0.2">
      <c r="A24" s="229"/>
      <c r="B24" s="116"/>
      <c r="C24" s="102"/>
      <c r="D24" s="111"/>
      <c r="E24" s="112"/>
      <c r="F24" s="110"/>
      <c r="G24" s="110"/>
      <c r="H24" s="112"/>
      <c r="I24" s="103"/>
      <c r="J24" s="103"/>
      <c r="K24" s="103"/>
      <c r="L24" s="103"/>
      <c r="M24" s="103"/>
    </row>
    <row r="25" spans="1:13" ht="15" x14ac:dyDescent="0.2">
      <c r="A25" s="229" t="s">
        <v>190</v>
      </c>
      <c r="B25" s="116">
        <f>Staffing!F82</f>
        <v>3</v>
      </c>
      <c r="C25" s="102"/>
      <c r="D25" s="111">
        <f>Staffing!E82</f>
        <v>124000</v>
      </c>
      <c r="E25" s="112"/>
      <c r="F25" s="110">
        <f t="shared" si="1"/>
        <v>1798</v>
      </c>
      <c r="G25" s="110">
        <f t="shared" si="2"/>
        <v>7688</v>
      </c>
      <c r="H25" s="112"/>
      <c r="I25" s="103">
        <f>B25*'Assumption Data'!$B$54</f>
        <v>15674.04</v>
      </c>
      <c r="J25" s="103">
        <f>D25*'Assumption Data'!$B$57</f>
        <v>1860</v>
      </c>
      <c r="K25" s="103">
        <f>B25*7700*'Assumption Data'!$B$58</f>
        <v>462</v>
      </c>
      <c r="L25" s="103">
        <f>D25*'Assumption Data'!$B$59</f>
        <v>1116</v>
      </c>
      <c r="M25" s="103">
        <f t="shared" si="0"/>
        <v>19112.04</v>
      </c>
    </row>
    <row r="26" spans="1:13" ht="15" x14ac:dyDescent="0.2">
      <c r="A26" s="229"/>
      <c r="B26" s="116"/>
      <c r="C26" s="102"/>
      <c r="D26" s="111"/>
      <c r="E26" s="112"/>
      <c r="F26" s="110"/>
      <c r="G26" s="110"/>
      <c r="H26" s="112"/>
      <c r="I26" s="103"/>
      <c r="J26" s="103"/>
      <c r="K26" s="103"/>
      <c r="L26" s="103"/>
      <c r="M26" s="103"/>
    </row>
    <row r="27" spans="1:13" ht="15" x14ac:dyDescent="0.2">
      <c r="A27" s="229" t="s">
        <v>157</v>
      </c>
      <c r="B27" s="116"/>
      <c r="C27" s="102"/>
      <c r="D27" s="111"/>
      <c r="E27" s="112"/>
      <c r="F27" s="110"/>
      <c r="G27" s="110"/>
      <c r="H27" s="112"/>
      <c r="I27" s="103"/>
      <c r="J27" s="103"/>
      <c r="K27" s="103"/>
      <c r="L27" s="103"/>
      <c r="M27" s="103"/>
    </row>
    <row r="28" spans="1:13" ht="15" x14ac:dyDescent="0.2">
      <c r="A28" s="94" t="s">
        <v>276</v>
      </c>
      <c r="B28" s="116">
        <f>Staffing!F89</f>
        <v>1</v>
      </c>
      <c r="C28" s="102"/>
      <c r="D28" s="111">
        <f>Staffing!E89</f>
        <v>42245</v>
      </c>
      <c r="E28" s="112"/>
      <c r="F28" s="110">
        <f t="shared" si="1"/>
        <v>612.55250000000001</v>
      </c>
      <c r="G28" s="110">
        <f t="shared" si="2"/>
        <v>2619.19</v>
      </c>
      <c r="H28" s="112"/>
      <c r="I28" s="103">
        <f>B28*'Assumption Data'!$B$54</f>
        <v>5224.68</v>
      </c>
      <c r="J28" s="103">
        <f>D28*'Assumption Data'!$B$57</f>
        <v>633.67499999999995</v>
      </c>
      <c r="K28" s="103">
        <f>B28*7700*'Assumption Data'!$B$58</f>
        <v>154</v>
      </c>
      <c r="L28" s="103">
        <f>D28*'Assumption Data'!$B$59</f>
        <v>380.20499999999998</v>
      </c>
      <c r="M28" s="103">
        <f t="shared" si="0"/>
        <v>6392.56</v>
      </c>
    </row>
    <row r="29" spans="1:13" ht="15" x14ac:dyDescent="0.2">
      <c r="A29" s="94" t="s">
        <v>405</v>
      </c>
      <c r="B29" s="116">
        <f>Staffing!F90</f>
        <v>0</v>
      </c>
      <c r="C29" s="102"/>
      <c r="D29" s="111">
        <f>Staffing!E90</f>
        <v>4770</v>
      </c>
      <c r="E29" s="112"/>
      <c r="F29" s="110">
        <f t="shared" si="1"/>
        <v>69.165000000000006</v>
      </c>
      <c r="G29" s="110">
        <f t="shared" si="2"/>
        <v>295.74</v>
      </c>
      <c r="H29" s="112"/>
      <c r="I29" s="103">
        <f>B29*'Assumption Data'!$B$54</f>
        <v>0</v>
      </c>
      <c r="J29" s="103">
        <f>D29*'Assumption Data'!$B$57</f>
        <v>71.55</v>
      </c>
      <c r="K29" s="103">
        <f>B29*7700*'Assumption Data'!$B$58</f>
        <v>0</v>
      </c>
      <c r="L29" s="103">
        <f>D29*'Assumption Data'!$B$59</f>
        <v>42.93</v>
      </c>
      <c r="M29" s="103">
        <f t="shared" si="0"/>
        <v>114.47999999999999</v>
      </c>
    </row>
    <row r="30" spans="1:13" ht="15" x14ac:dyDescent="0.2">
      <c r="A30" s="94" t="s">
        <v>191</v>
      </c>
      <c r="B30" s="116">
        <f>Staffing!F91</f>
        <v>0</v>
      </c>
      <c r="C30" s="102"/>
      <c r="D30" s="111">
        <f>Staffing!E91</f>
        <v>0</v>
      </c>
      <c r="E30" s="112"/>
      <c r="F30" s="110">
        <f t="shared" si="1"/>
        <v>0</v>
      </c>
      <c r="G30" s="110">
        <f t="shared" si="2"/>
        <v>0</v>
      </c>
      <c r="H30" s="112"/>
      <c r="I30" s="103">
        <f>B30*'Assumption Data'!$B$54</f>
        <v>0</v>
      </c>
      <c r="J30" s="103">
        <f>D30*'Assumption Data'!$B$57</f>
        <v>0</v>
      </c>
      <c r="K30" s="103">
        <f>B30*7700*'Assumption Data'!$B$58</f>
        <v>0</v>
      </c>
      <c r="L30" s="103">
        <f>D30*'Assumption Data'!$B$59</f>
        <v>0</v>
      </c>
      <c r="M30" s="103">
        <f t="shared" si="0"/>
        <v>0</v>
      </c>
    </row>
    <row r="31" spans="1:13" ht="15" x14ac:dyDescent="0.2">
      <c r="A31" s="3" t="s">
        <v>192</v>
      </c>
      <c r="B31" s="116">
        <f>Staffing!F92</f>
        <v>0</v>
      </c>
      <c r="C31" s="102"/>
      <c r="D31" s="111">
        <f>Staffing!E92</f>
        <v>0</v>
      </c>
      <c r="E31" s="112"/>
      <c r="F31" s="110">
        <f t="shared" si="1"/>
        <v>0</v>
      </c>
      <c r="G31" s="110">
        <f t="shared" si="2"/>
        <v>0</v>
      </c>
      <c r="H31" s="112"/>
      <c r="I31" s="103">
        <f>B31*'Assumption Data'!$B$54</f>
        <v>0</v>
      </c>
      <c r="J31" s="103">
        <f>D31*'Assumption Data'!$B$57</f>
        <v>0</v>
      </c>
      <c r="K31" s="103">
        <f>B31*7700*'Assumption Data'!$B$58</f>
        <v>0</v>
      </c>
      <c r="L31" s="103">
        <f>D31*'Assumption Data'!$B$59</f>
        <v>0</v>
      </c>
      <c r="M31" s="103">
        <f t="shared" si="0"/>
        <v>0</v>
      </c>
    </row>
    <row r="32" spans="1:13" ht="15" x14ac:dyDescent="0.2">
      <c r="A32" s="3"/>
      <c r="B32" s="116"/>
      <c r="C32" s="102"/>
      <c r="D32" s="111"/>
      <c r="E32" s="112"/>
      <c r="F32" s="110"/>
      <c r="G32" s="110"/>
      <c r="H32" s="112"/>
      <c r="I32" s="103"/>
      <c r="J32" s="103"/>
      <c r="K32" s="103"/>
      <c r="L32" s="103"/>
      <c r="M32" s="103"/>
    </row>
    <row r="33" spans="1:13" ht="15" x14ac:dyDescent="0.2">
      <c r="A33" s="3" t="s">
        <v>143</v>
      </c>
      <c r="B33" s="116">
        <f>Staffing!F103</f>
        <v>0</v>
      </c>
      <c r="C33" s="102"/>
      <c r="D33" s="111">
        <f>Staffing!E103</f>
        <v>0</v>
      </c>
      <c r="E33" s="112"/>
      <c r="F33" s="110">
        <f>D33*0.0145</f>
        <v>0</v>
      </c>
      <c r="G33" s="110">
        <f>D33*0.062</f>
        <v>0</v>
      </c>
      <c r="H33" s="112"/>
      <c r="I33" s="103">
        <f>B33*'Assumption Data'!$B$54</f>
        <v>0</v>
      </c>
      <c r="J33" s="103">
        <f>D33*'Assumption Data'!$B$57</f>
        <v>0</v>
      </c>
      <c r="K33" s="103">
        <f>B33*7700*'Assumption Data'!$B$58</f>
        <v>0</v>
      </c>
      <c r="L33" s="103">
        <f>D33*'Assumption Data'!$B$59</f>
        <v>0</v>
      </c>
      <c r="M33" s="103">
        <f>SUM(I33:L33)</f>
        <v>0</v>
      </c>
    </row>
    <row r="34" spans="1:13" ht="15" x14ac:dyDescent="0.2">
      <c r="A34" s="3"/>
      <c r="B34" s="116"/>
      <c r="C34" s="102"/>
      <c r="D34" s="111"/>
      <c r="E34" s="112"/>
      <c r="F34" s="110"/>
      <c r="G34" s="110"/>
      <c r="H34" s="112"/>
      <c r="I34" s="103"/>
      <c r="J34" s="103"/>
      <c r="K34" s="103"/>
      <c r="L34" s="103"/>
      <c r="M34" s="103"/>
    </row>
    <row r="35" spans="1:13" ht="15" x14ac:dyDescent="0.2">
      <c r="A35" s="229" t="s">
        <v>158</v>
      </c>
      <c r="B35" s="116"/>
      <c r="C35" s="102"/>
      <c r="D35" s="111"/>
      <c r="E35" s="112"/>
      <c r="F35" s="110"/>
      <c r="G35" s="110"/>
      <c r="H35" s="112"/>
      <c r="I35" s="103"/>
      <c r="J35" s="103"/>
      <c r="K35" s="103"/>
      <c r="L35" s="103"/>
      <c r="M35" s="103"/>
    </row>
    <row r="36" spans="1:13" ht="15" x14ac:dyDescent="0.2">
      <c r="A36" s="63" t="s">
        <v>193</v>
      </c>
      <c r="B36" s="116">
        <f>Staffing!F118</f>
        <v>1</v>
      </c>
      <c r="C36" s="102"/>
      <c r="D36" s="111">
        <f>Staffing!E118</f>
        <v>70000</v>
      </c>
      <c r="E36" s="112"/>
      <c r="F36" s="110">
        <f t="shared" si="1"/>
        <v>1015</v>
      </c>
      <c r="G36" s="110">
        <f t="shared" si="2"/>
        <v>4340</v>
      </c>
      <c r="H36" s="112"/>
      <c r="I36" s="103">
        <f>B36*'Assumption Data'!$B$54</f>
        <v>5224.68</v>
      </c>
      <c r="J36" s="103">
        <f>D36*'Assumption Data'!$B$57</f>
        <v>1050</v>
      </c>
      <c r="K36" s="103">
        <f>B36*7700*'Assumption Data'!$B$58</f>
        <v>154</v>
      </c>
      <c r="L36" s="103">
        <f>D36*'Assumption Data'!$B$59</f>
        <v>630</v>
      </c>
      <c r="M36" s="103">
        <f t="shared" si="0"/>
        <v>7058.68</v>
      </c>
    </row>
    <row r="37" spans="1:13" ht="15" x14ac:dyDescent="0.2">
      <c r="A37" s="94" t="s">
        <v>361</v>
      </c>
      <c r="B37" s="116">
        <f>Staffing!F119</f>
        <v>1</v>
      </c>
      <c r="C37" s="102"/>
      <c r="D37" s="111">
        <f>Staffing!E119</f>
        <v>58000</v>
      </c>
      <c r="E37" s="112"/>
      <c r="F37" s="110">
        <f>D37*0.0145</f>
        <v>841</v>
      </c>
      <c r="G37" s="110">
        <f>D37*0.062</f>
        <v>3596</v>
      </c>
      <c r="H37" s="112"/>
      <c r="I37" s="103">
        <f>B37*'Assumption Data'!$B$54</f>
        <v>5224.68</v>
      </c>
      <c r="J37" s="103">
        <f>D37*'Assumption Data'!$B$57</f>
        <v>870</v>
      </c>
      <c r="K37" s="103">
        <f>B37*7700*'Assumption Data'!$B$58</f>
        <v>154</v>
      </c>
      <c r="L37" s="103">
        <f>D37*'Assumption Data'!$B$59</f>
        <v>522</v>
      </c>
      <c r="M37" s="103">
        <f t="shared" si="0"/>
        <v>6770.68</v>
      </c>
    </row>
    <row r="38" spans="1:13" ht="15" x14ac:dyDescent="0.2">
      <c r="A38" s="94" t="s">
        <v>277</v>
      </c>
      <c r="B38" s="116">
        <f>Staffing!F120</f>
        <v>1</v>
      </c>
      <c r="C38" s="102"/>
      <c r="D38" s="111">
        <f>Staffing!E120</f>
        <v>57500</v>
      </c>
      <c r="E38" s="112"/>
      <c r="F38" s="110">
        <f>D38*0.0145</f>
        <v>833.75</v>
      </c>
      <c r="G38" s="110">
        <f>D38*0.062</f>
        <v>3565</v>
      </c>
      <c r="H38" s="112"/>
      <c r="I38" s="103">
        <f>B38*'Assumption Data'!$B$54</f>
        <v>5224.68</v>
      </c>
      <c r="J38" s="103">
        <f>D38*'Assumption Data'!$B$57</f>
        <v>862.5</v>
      </c>
      <c r="K38" s="103">
        <f>B38*7700*'Assumption Data'!$B$58</f>
        <v>154</v>
      </c>
      <c r="L38" s="103">
        <f>D38*'Assumption Data'!$B$59</f>
        <v>517.5</v>
      </c>
      <c r="M38" s="103">
        <f t="shared" ref="M38" si="6">SUM(I38:L38)</f>
        <v>6758.68</v>
      </c>
    </row>
    <row r="39" spans="1:13" ht="15" x14ac:dyDescent="0.2">
      <c r="A39" s="3" t="s">
        <v>278</v>
      </c>
      <c r="B39" s="116">
        <f>Staffing!F121</f>
        <v>1</v>
      </c>
      <c r="C39" s="102"/>
      <c r="D39" s="111">
        <f>Staffing!E121</f>
        <v>25000</v>
      </c>
      <c r="E39" s="112"/>
      <c r="F39" s="110">
        <f t="shared" si="1"/>
        <v>362.5</v>
      </c>
      <c r="G39" s="110">
        <f t="shared" si="2"/>
        <v>1550</v>
      </c>
      <c r="H39" s="112"/>
      <c r="I39" s="103">
        <f>B39*'Assumption Data'!$B$54</f>
        <v>5224.68</v>
      </c>
      <c r="J39" s="103">
        <f>D39*'Assumption Data'!$B$57</f>
        <v>375</v>
      </c>
      <c r="K39" s="103">
        <f>B39*7700*'Assumption Data'!$B$58</f>
        <v>154</v>
      </c>
      <c r="L39" s="103">
        <f>D39*'Assumption Data'!$B$59</f>
        <v>224.99999999999997</v>
      </c>
      <c r="M39" s="103">
        <f t="shared" si="0"/>
        <v>5978.68</v>
      </c>
    </row>
    <row r="40" spans="1:13" ht="15" x14ac:dyDescent="0.2">
      <c r="A40" s="229"/>
      <c r="B40" s="116"/>
      <c r="C40" s="102"/>
      <c r="D40" s="111"/>
      <c r="E40" s="112"/>
      <c r="F40" s="110"/>
      <c r="G40" s="110"/>
      <c r="H40" s="112"/>
      <c r="I40" s="103"/>
      <c r="J40" s="103"/>
      <c r="K40" s="103"/>
      <c r="L40" s="103"/>
      <c r="M40" s="103"/>
    </row>
    <row r="41" spans="1:13" ht="15" x14ac:dyDescent="0.2">
      <c r="A41" s="229" t="s">
        <v>54</v>
      </c>
      <c r="B41" s="116">
        <f>Staffing!F131</f>
        <v>1</v>
      </c>
      <c r="C41" s="102"/>
      <c r="D41" s="111">
        <f>Staffing!E131</f>
        <v>54000</v>
      </c>
      <c r="E41" s="112"/>
      <c r="F41" s="110">
        <f t="shared" si="1"/>
        <v>783</v>
      </c>
      <c r="G41" s="110">
        <f t="shared" si="2"/>
        <v>3348</v>
      </c>
      <c r="H41" s="112"/>
      <c r="I41" s="103">
        <f>B41*'Assumption Data'!$B$54</f>
        <v>5224.68</v>
      </c>
      <c r="J41" s="103">
        <f>D41*'Assumption Data'!$B$57</f>
        <v>810</v>
      </c>
      <c r="K41" s="103">
        <f>B41*7700*'Assumption Data'!$B$58</f>
        <v>154</v>
      </c>
      <c r="L41" s="103">
        <f>D41*'Assumption Data'!$B$59</f>
        <v>485.99999999999994</v>
      </c>
      <c r="M41" s="103">
        <f t="shared" si="0"/>
        <v>6674.68</v>
      </c>
    </row>
    <row r="42" spans="1:13" ht="15" x14ac:dyDescent="0.2">
      <c r="A42" s="229"/>
      <c r="B42" s="116"/>
      <c r="C42" s="102"/>
      <c r="D42" s="111"/>
      <c r="E42" s="112"/>
      <c r="F42" s="110"/>
      <c r="G42" s="110"/>
      <c r="H42" s="112"/>
      <c r="I42" s="103"/>
      <c r="J42" s="103"/>
      <c r="K42" s="103"/>
      <c r="L42" s="103"/>
      <c r="M42" s="103"/>
    </row>
    <row r="43" spans="1:13" ht="15" x14ac:dyDescent="0.2">
      <c r="A43" s="229" t="s">
        <v>159</v>
      </c>
      <c r="B43" s="116">
        <f>Staffing!F140</f>
        <v>0</v>
      </c>
      <c r="C43" s="102"/>
      <c r="D43" s="111">
        <f>Staffing!E140</f>
        <v>0</v>
      </c>
      <c r="E43" s="112"/>
      <c r="F43" s="110">
        <f t="shared" si="1"/>
        <v>0</v>
      </c>
      <c r="G43" s="110">
        <f t="shared" si="2"/>
        <v>0</v>
      </c>
      <c r="H43" s="112"/>
      <c r="I43" s="103">
        <f>B43*'Assumption Data'!$B$54</f>
        <v>0</v>
      </c>
      <c r="J43" s="103">
        <f>D43*'Assumption Data'!$B$57</f>
        <v>0</v>
      </c>
      <c r="K43" s="103">
        <f>B43*7700*'Assumption Data'!$B$58</f>
        <v>0</v>
      </c>
      <c r="L43" s="103">
        <f>D43*'Assumption Data'!$B$59</f>
        <v>0</v>
      </c>
      <c r="M43" s="103">
        <f t="shared" si="0"/>
        <v>0</v>
      </c>
    </row>
    <row r="44" spans="1:13" ht="14.25" x14ac:dyDescent="0.2">
      <c r="A44" s="105"/>
      <c r="B44" s="116"/>
      <c r="C44" s="102"/>
      <c r="D44" s="111"/>
      <c r="E44" s="112"/>
      <c r="F44" s="110"/>
      <c r="G44" s="110"/>
      <c r="H44" s="112"/>
      <c r="I44" s="103"/>
      <c r="J44" s="103"/>
      <c r="K44" s="103"/>
      <c r="L44" s="103"/>
      <c r="M44" s="103"/>
    </row>
    <row r="45" spans="1:13" ht="14.25" x14ac:dyDescent="0.2">
      <c r="A45" s="105"/>
      <c r="B45" s="116"/>
      <c r="C45" s="102"/>
      <c r="D45" s="103"/>
      <c r="E45" s="104"/>
      <c r="F45" s="103"/>
      <c r="G45" s="103"/>
      <c r="H45" s="104"/>
      <c r="I45" s="103"/>
      <c r="J45" s="103"/>
      <c r="K45" s="103"/>
      <c r="L45" s="103"/>
      <c r="M45" s="103"/>
    </row>
    <row r="46" spans="1:13" ht="14.25" x14ac:dyDescent="0.2">
      <c r="A46" s="105"/>
      <c r="B46" s="116"/>
      <c r="C46" s="102"/>
      <c r="D46" s="103"/>
      <c r="E46" s="104"/>
      <c r="F46" s="103"/>
      <c r="G46" s="103"/>
      <c r="H46" s="104"/>
      <c r="I46" s="103"/>
      <c r="J46" s="103"/>
      <c r="K46" s="103"/>
      <c r="L46" s="103"/>
      <c r="M46" s="103"/>
    </row>
    <row r="47" spans="1:13" ht="16.5" thickBot="1" x14ac:dyDescent="0.3">
      <c r="A47" s="98" t="s">
        <v>78</v>
      </c>
      <c r="B47" s="114">
        <f>SUM(B9:B45)</f>
        <v>32.833333333333329</v>
      </c>
      <c r="C47" s="102"/>
      <c r="D47" s="113">
        <f>SUM(D9:D45)</f>
        <v>1337632.3333333333</v>
      </c>
      <c r="E47" s="104"/>
      <c r="F47" s="113">
        <f>SUM(F9:F45)</f>
        <v>19395.668833333337</v>
      </c>
      <c r="G47" s="113">
        <f>SUM(G9:G45)</f>
        <v>82933.204666666672</v>
      </c>
      <c r="H47" s="104"/>
      <c r="I47" s="113">
        <f>SUM(I9:I45)</f>
        <v>171543.65999999997</v>
      </c>
      <c r="J47" s="113">
        <f>SUM(J9:J45)</f>
        <v>20064.485000000001</v>
      </c>
      <c r="K47" s="113">
        <f>SUM(K9:K45)</f>
        <v>5056.3333333333339</v>
      </c>
      <c r="L47" s="113">
        <f>SUM(L9:L45)</f>
        <v>12038.691000000001</v>
      </c>
      <c r="M47" s="113">
        <f>SUM(M9:M45)</f>
        <v>208703.16933333332</v>
      </c>
    </row>
    <row r="48" spans="1:13" ht="13.5" thickTop="1" x14ac:dyDescent="0.2"/>
  </sheetData>
  <mergeCells count="3">
    <mergeCell ref="B4:M4"/>
    <mergeCell ref="I5:M5"/>
    <mergeCell ref="F6:G6"/>
  </mergeCells>
  <pageMargins left="0.2" right="0.2" top="0.25" bottom="0.2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420"/>
  <sheetViews>
    <sheetView topLeftCell="A20" zoomScaleNormal="100" workbookViewId="0">
      <selection activeCell="B36" sqref="B36"/>
    </sheetView>
  </sheetViews>
  <sheetFormatPr defaultColWidth="8.85546875" defaultRowHeight="12.75" x14ac:dyDescent="0.2"/>
  <cols>
    <col min="1" max="1" width="45.7109375" style="17" customWidth="1"/>
    <col min="2" max="2" width="16.28515625" style="17" bestFit="1" customWidth="1"/>
    <col min="3" max="3" width="8.85546875" style="17"/>
    <col min="4" max="4" width="12.7109375" style="17" bestFit="1" customWidth="1"/>
    <col min="5" max="5" width="15.7109375" style="17" bestFit="1" customWidth="1"/>
    <col min="6" max="6" width="9" style="17" bestFit="1" customWidth="1"/>
    <col min="7" max="16384" width="8.85546875" style="17"/>
  </cols>
  <sheetData>
    <row r="1" spans="1:5" x14ac:dyDescent="0.2">
      <c r="A1" s="16" t="s">
        <v>131</v>
      </c>
    </row>
    <row r="2" spans="1:5" x14ac:dyDescent="0.2">
      <c r="A2" s="16" t="s">
        <v>245</v>
      </c>
    </row>
    <row r="4" spans="1:5" x14ac:dyDescent="0.2">
      <c r="B4" s="18"/>
    </row>
    <row r="5" spans="1:5" x14ac:dyDescent="0.2">
      <c r="B5" s="81"/>
      <c r="C5" s="82"/>
    </row>
    <row r="6" spans="1:5" ht="15" x14ac:dyDescent="0.25">
      <c r="A6" s="11" t="s">
        <v>59</v>
      </c>
      <c r="B6" s="19"/>
    </row>
    <row r="7" spans="1:5" ht="14.25" x14ac:dyDescent="0.2">
      <c r="A7" s="4" t="s">
        <v>16</v>
      </c>
      <c r="B7" s="5"/>
      <c r="C7" s="19"/>
    </row>
    <row r="8" spans="1:5" ht="14.25" x14ac:dyDescent="0.2">
      <c r="A8" s="4" t="s">
        <v>17</v>
      </c>
      <c r="B8" s="5"/>
      <c r="C8" s="19"/>
    </row>
    <row r="9" spans="1:5" ht="14.25" x14ac:dyDescent="0.2">
      <c r="A9" s="4" t="s">
        <v>19</v>
      </c>
      <c r="B9" s="5"/>
      <c r="C9" s="19"/>
    </row>
    <row r="10" spans="1:5" ht="14.25" x14ac:dyDescent="0.2">
      <c r="A10" s="20" t="s">
        <v>20</v>
      </c>
      <c r="B10" s="21"/>
      <c r="C10" s="19"/>
    </row>
    <row r="11" spans="1:5" ht="14.25" x14ac:dyDescent="0.2">
      <c r="A11" s="20" t="s">
        <v>21</v>
      </c>
      <c r="B11" s="21"/>
      <c r="C11" s="19"/>
    </row>
    <row r="12" spans="1:5" ht="14.25" x14ac:dyDescent="0.2">
      <c r="A12" s="20" t="s">
        <v>22</v>
      </c>
      <c r="B12" s="21"/>
      <c r="C12" s="19"/>
    </row>
    <row r="13" spans="1:5" ht="14.25" x14ac:dyDescent="0.2">
      <c r="A13" s="7" t="s">
        <v>24</v>
      </c>
      <c r="B13" s="8"/>
      <c r="C13" s="19"/>
      <c r="D13" s="208"/>
      <c r="E13" s="209"/>
    </row>
    <row r="14" spans="1:5" ht="14.25" x14ac:dyDescent="0.2">
      <c r="A14" s="7" t="s">
        <v>25</v>
      </c>
      <c r="B14" s="8">
        <f>(329+325)/2</f>
        <v>327</v>
      </c>
      <c r="C14" s="19"/>
      <c r="D14" s="208"/>
      <c r="E14" s="209"/>
    </row>
    <row r="15" spans="1:5" ht="14.25" x14ac:dyDescent="0.2">
      <c r="A15" s="7" t="s">
        <v>32</v>
      </c>
      <c r="B15" s="8"/>
      <c r="C15" s="19"/>
      <c r="D15" s="208"/>
      <c r="E15" s="208"/>
    </row>
    <row r="16" spans="1:5" ht="15" x14ac:dyDescent="0.25">
      <c r="A16" s="11" t="s">
        <v>33</v>
      </c>
      <c r="B16" s="12">
        <f>SUM(B7:B15)</f>
        <v>327</v>
      </c>
      <c r="C16" s="19"/>
      <c r="D16" s="208"/>
      <c r="E16" s="208"/>
    </row>
    <row r="17" spans="1:11" ht="15" x14ac:dyDescent="0.25">
      <c r="A17" s="11"/>
      <c r="B17" s="19"/>
    </row>
    <row r="18" spans="1:11" ht="15" x14ac:dyDescent="0.25">
      <c r="A18" s="11"/>
      <c r="B18" s="19"/>
    </row>
    <row r="19" spans="1:11" ht="15" x14ac:dyDescent="0.25">
      <c r="A19" s="11" t="s">
        <v>60</v>
      </c>
      <c r="B19" s="22">
        <v>180</v>
      </c>
    </row>
    <row r="20" spans="1:11" ht="15" x14ac:dyDescent="0.25">
      <c r="A20" s="11"/>
      <c r="B20" s="19"/>
      <c r="E20" s="23"/>
      <c r="F20" s="23"/>
      <c r="G20" s="23"/>
    </row>
    <row r="22" spans="1:11" ht="15" x14ac:dyDescent="0.25">
      <c r="A22" s="11" t="s">
        <v>61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4.25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4.25" x14ac:dyDescent="0.2">
      <c r="A24" s="19" t="s">
        <v>117</v>
      </c>
      <c r="B24" s="97">
        <v>5661</v>
      </c>
      <c r="C24" s="19"/>
      <c r="D24" s="93">
        <f>320*B24</f>
        <v>1811520</v>
      </c>
      <c r="E24" s="179"/>
      <c r="F24" s="19"/>
      <c r="G24" s="19"/>
      <c r="H24" s="19"/>
      <c r="I24" s="19"/>
      <c r="J24" s="19"/>
      <c r="K24" s="19"/>
    </row>
    <row r="25" spans="1:11" ht="14.25" x14ac:dyDescent="0.2">
      <c r="A25" s="19"/>
      <c r="B25" s="97"/>
      <c r="C25" s="19"/>
      <c r="D25" s="22"/>
      <c r="E25" s="216"/>
      <c r="F25" s="22"/>
      <c r="G25" s="22"/>
      <c r="H25" s="19"/>
      <c r="I25" s="19"/>
      <c r="J25" s="19"/>
      <c r="K25" s="19"/>
    </row>
    <row r="26" spans="1:11" ht="14.25" x14ac:dyDescent="0.2">
      <c r="A26" s="19" t="s">
        <v>118</v>
      </c>
      <c r="B26" s="97">
        <v>2555</v>
      </c>
      <c r="C26" s="19"/>
      <c r="D26" s="93">
        <f>320*B26</f>
        <v>817600</v>
      </c>
      <c r="E26" s="179"/>
      <c r="F26" s="19"/>
      <c r="G26" s="19"/>
      <c r="H26" s="19"/>
      <c r="I26" s="19"/>
      <c r="J26" s="19"/>
      <c r="K26" s="19"/>
    </row>
    <row r="27" spans="1:11" ht="14.25" x14ac:dyDescent="0.2">
      <c r="A27" s="19"/>
      <c r="B27" s="32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4.25" x14ac:dyDescent="0.2">
      <c r="A28" s="19" t="s">
        <v>71</v>
      </c>
      <c r="B28" s="97">
        <v>88507</v>
      </c>
      <c r="C28" s="19"/>
      <c r="D28" s="22"/>
      <c r="E28" s="22"/>
      <c r="F28" s="22"/>
      <c r="G28" s="19"/>
      <c r="H28" s="19"/>
      <c r="I28" s="19"/>
      <c r="J28" s="19"/>
      <c r="K28" s="19"/>
    </row>
    <row r="29" spans="1:11" ht="14.25" x14ac:dyDescent="0.2">
      <c r="A29" s="19"/>
      <c r="B29" s="25"/>
      <c r="C29" s="19"/>
      <c r="D29" s="216"/>
      <c r="E29" s="22"/>
      <c r="F29" s="22"/>
      <c r="G29" s="19"/>
      <c r="H29" s="19"/>
      <c r="I29" s="19"/>
      <c r="J29" s="19"/>
      <c r="K29" s="19"/>
    </row>
    <row r="30" spans="1:11" ht="14.25" x14ac:dyDescent="0.2">
      <c r="A30" s="19" t="s">
        <v>72</v>
      </c>
      <c r="B30" s="97">
        <v>13026</v>
      </c>
      <c r="C30" s="19"/>
      <c r="D30" s="22"/>
      <c r="E30" s="22"/>
      <c r="F30" s="22"/>
      <c r="G30" s="19"/>
      <c r="H30" s="19"/>
      <c r="I30" s="19"/>
      <c r="J30" s="19"/>
      <c r="K30" s="19"/>
    </row>
    <row r="31" spans="1:11" ht="14.25" x14ac:dyDescent="0.2">
      <c r="A31" s="19"/>
      <c r="B31" s="25"/>
      <c r="C31" s="19"/>
      <c r="D31" s="22"/>
      <c r="E31" s="22"/>
      <c r="F31" s="22"/>
      <c r="G31" s="19"/>
      <c r="H31" s="19"/>
      <c r="I31" s="19"/>
      <c r="J31" s="19"/>
      <c r="K31" s="19"/>
    </row>
    <row r="32" spans="1:11" ht="14.25" x14ac:dyDescent="0.2">
      <c r="A32" s="19" t="s">
        <v>407</v>
      </c>
      <c r="B32" s="25">
        <v>10000</v>
      </c>
      <c r="C32" s="19"/>
      <c r="D32" s="22"/>
      <c r="E32" s="22"/>
      <c r="F32" s="22"/>
      <c r="G32" s="19"/>
      <c r="H32" s="19"/>
      <c r="I32" s="19"/>
      <c r="J32" s="19"/>
      <c r="K32" s="19"/>
    </row>
    <row r="33" spans="1:11" ht="14.25" x14ac:dyDescent="0.2">
      <c r="A33" s="19"/>
      <c r="B33" s="25"/>
      <c r="C33" s="19"/>
      <c r="D33" s="22"/>
      <c r="E33" s="22"/>
      <c r="F33" s="22"/>
      <c r="G33" s="19"/>
      <c r="H33" s="19"/>
      <c r="I33" s="19"/>
      <c r="J33" s="19"/>
      <c r="K33" s="19"/>
    </row>
    <row r="34" spans="1:11" ht="14.25" x14ac:dyDescent="0.2">
      <c r="A34" s="22" t="s">
        <v>73</v>
      </c>
      <c r="B34" s="97">
        <v>41161</v>
      </c>
      <c r="C34" s="19"/>
      <c r="D34" s="22"/>
      <c r="E34" s="22"/>
      <c r="F34" s="22"/>
      <c r="G34" s="19"/>
      <c r="H34" s="19"/>
      <c r="I34" s="19"/>
      <c r="J34" s="19"/>
      <c r="K34" s="19"/>
    </row>
    <row r="35" spans="1:11" ht="14.25" x14ac:dyDescent="0.2">
      <c r="A35" s="19"/>
      <c r="B35" s="25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4.25" x14ac:dyDescent="0.2">
      <c r="A36" s="19" t="s">
        <v>341</v>
      </c>
      <c r="B36" s="226">
        <f>5500+1500+12500+1750</f>
        <v>21250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4.25" x14ac:dyDescent="0.2">
      <c r="A37" s="19"/>
      <c r="B37" s="61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4.25" x14ac:dyDescent="0.2">
      <c r="A38" s="19"/>
      <c r="B38" s="61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4.25" x14ac:dyDescent="0.2">
      <c r="A39" s="19"/>
      <c r="B39" s="24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4.25" x14ac:dyDescent="0.2">
      <c r="A40" s="19"/>
      <c r="B40" s="28"/>
      <c r="C40" s="19"/>
      <c r="D40" s="19"/>
      <c r="E40" s="19"/>
      <c r="F40" s="93"/>
      <c r="G40" s="19"/>
      <c r="H40" s="19"/>
      <c r="I40" s="19"/>
      <c r="J40" s="19"/>
      <c r="K40" s="19"/>
    </row>
    <row r="41" spans="1:11" ht="14.25" x14ac:dyDescent="0.2">
      <c r="A41" s="26" t="s">
        <v>119</v>
      </c>
      <c r="B41" s="28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4.25" x14ac:dyDescent="0.2">
      <c r="A42" s="19" t="s">
        <v>122</v>
      </c>
      <c r="B42" s="142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4.25" x14ac:dyDescent="0.2">
      <c r="A43" s="19" t="s">
        <v>120</v>
      </c>
      <c r="B43" s="142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4.25" x14ac:dyDescent="0.2">
      <c r="A44" s="19" t="s">
        <v>121</v>
      </c>
      <c r="B44" s="142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25" x14ac:dyDescent="0.2">
      <c r="A45" s="19" t="s">
        <v>141</v>
      </c>
      <c r="B45" s="142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5" thickBot="1" x14ac:dyDescent="0.25">
      <c r="A46" s="19" t="s">
        <v>123</v>
      </c>
      <c r="B46" s="27">
        <f>SUM(B42:B45)</f>
        <v>0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5" thickTop="1" x14ac:dyDescent="0.2">
      <c r="A47" s="19"/>
      <c r="B47" s="28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4.25" x14ac:dyDescent="0.2">
      <c r="A48" s="2" t="s">
        <v>209</v>
      </c>
      <c r="B48" s="142">
        <v>7500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4.25" x14ac:dyDescent="0.2">
      <c r="A49" s="1" t="s">
        <v>140</v>
      </c>
      <c r="B49" s="122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4.25" x14ac:dyDescent="0.2">
      <c r="A50" s="1"/>
      <c r="B50" s="28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5" thickBot="1" x14ac:dyDescent="0.25">
      <c r="A51" s="19" t="s">
        <v>134</v>
      </c>
      <c r="B51" s="27">
        <f>SUM(B48:B49)</f>
        <v>7500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5" thickTop="1" x14ac:dyDescent="0.2">
      <c r="B52" s="24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4.25" x14ac:dyDescent="0.2">
      <c r="A53" s="26" t="s">
        <v>62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4.25" x14ac:dyDescent="0.2">
      <c r="A54" s="19" t="s">
        <v>63</v>
      </c>
      <c r="B54" s="25">
        <f>((475*0.85)+26.98+4.66)*12</f>
        <v>5224.68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4.25" x14ac:dyDescent="0.2">
      <c r="A55" s="19" t="s">
        <v>64</v>
      </c>
      <c r="B55" s="29">
        <v>6.2E-2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4.25" x14ac:dyDescent="0.2">
      <c r="A56" s="19" t="s">
        <v>65</v>
      </c>
      <c r="B56" s="29">
        <v>1.4500000000000001E-2</v>
      </c>
      <c r="D56" s="19"/>
      <c r="E56" s="19"/>
      <c r="F56" s="19"/>
      <c r="G56" s="19"/>
      <c r="H56" s="19"/>
      <c r="I56" s="19"/>
      <c r="J56" s="19"/>
      <c r="K56" s="19"/>
    </row>
    <row r="57" spans="1:11" ht="14.25" x14ac:dyDescent="0.2">
      <c r="A57" s="19" t="s">
        <v>66</v>
      </c>
      <c r="B57" s="211">
        <f>0.03*0.5</f>
        <v>1.4999999999999999E-2</v>
      </c>
      <c r="C57" s="19" t="s">
        <v>356</v>
      </c>
      <c r="D57" s="19"/>
      <c r="E57" s="19"/>
      <c r="F57" s="19"/>
      <c r="G57" s="19"/>
      <c r="H57" s="19"/>
      <c r="I57" s="19"/>
      <c r="J57" s="19"/>
      <c r="K57" s="19"/>
    </row>
    <row r="58" spans="1:11" ht="14.25" x14ac:dyDescent="0.2">
      <c r="A58" s="19" t="s">
        <v>67</v>
      </c>
      <c r="B58" s="212">
        <v>0.02</v>
      </c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4.25" x14ac:dyDescent="0.2">
      <c r="A59" s="19" t="s">
        <v>68</v>
      </c>
      <c r="B59" s="225">
        <v>8.9999999999999993E-3</v>
      </c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4.25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4.25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4.25" x14ac:dyDescent="0.2">
      <c r="A62" s="26" t="s">
        <v>69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4.25" x14ac:dyDescent="0.2">
      <c r="A63" s="19" t="s">
        <v>70</v>
      </c>
      <c r="B63" s="213">
        <v>2</v>
      </c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4.25" x14ac:dyDescent="0.2">
      <c r="A64" s="19" t="s">
        <v>115</v>
      </c>
      <c r="B64" s="210">
        <v>300</v>
      </c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4.25" x14ac:dyDescent="0.2">
      <c r="A65" s="19"/>
      <c r="B65" s="25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4.25" x14ac:dyDescent="0.2">
      <c r="A66" s="19" t="s">
        <v>70</v>
      </c>
      <c r="B66" s="25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4.25" x14ac:dyDescent="0.2">
      <c r="A67" s="19" t="s">
        <v>116</v>
      </c>
      <c r="B67" s="25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4.25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4.25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4.25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4.25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4.25" x14ac:dyDescent="0.2">
      <c r="A72" s="19"/>
      <c r="B72" s="93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4.25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4.25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4.25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4.25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4.25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4.25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4.2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4.2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4.25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4.25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4.25" x14ac:dyDescent="0.2">
      <c r="A83" s="19"/>
      <c r="B83" s="19" t="s">
        <v>80</v>
      </c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4.25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4.25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4.25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4.25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4.25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4.25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4.25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4.25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4.25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4.25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4.25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4.25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4.25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4.25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4.25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4.25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4.25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4.25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4.25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4.25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4.25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4.25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4.25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4.25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4.25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4.25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4.25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4.25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4.25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4.25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4.25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4.25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4.25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4.25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4.25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4.25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4.25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4.25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4.25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4.25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4.25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4.25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4.25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4.25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4.25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4.25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4.25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4.25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4.25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4.25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14.25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14.25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14.25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14.25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14.25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1:11" ht="14.25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ht="14.25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ht="14.25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ht="14.25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ht="14.25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ht="14.25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14.25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ht="14.25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ht="14.25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ht="14.25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ht="14.25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14.25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ht="14.25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ht="14.25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ht="14.25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ht="14.25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ht="14.25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4.25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14.25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4.25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ht="14.25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4.25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ht="14.25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4.25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14.25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14.25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ht="14.25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ht="14.25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1:11" ht="14.25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1:11" ht="14.25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ht="14.25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14.25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ht="14.25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ht="14.25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ht="14.25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14.25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ht="14.25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ht="14.25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ht="14.25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ht="14.25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ht="14.25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ht="14.25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ht="14.25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ht="14.25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ht="14.25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ht="14.25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ht="14.25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ht="14.25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ht="14.25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4.25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ht="14.25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ht="14.25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ht="14.25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ht="14.25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ht="14.25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ht="14.25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ht="14.25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ht="14.25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14.25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14.25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ht="14.25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ht="14.25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ht="14.25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ht="14.25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4.25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4.25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4.25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14.25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14.25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14.25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4.25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ht="14.25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4.25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4.25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4.25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4.25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4.25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4.25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ht="14.25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4.25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ht="14.25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4.25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ht="14.25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4.25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4.25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14.25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4.25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14.25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14.25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ht="14.25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4.25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4.25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ht="14.25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ht="14.25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4.25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14.25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14.25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4.25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4.25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4.25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4.25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4.25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4.25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4.25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4.25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4.25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4.25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4.25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14.25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14.25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14.25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ht="14.25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ht="14.25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ht="14.25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4.25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ht="14.25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14.25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ht="14.25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4.25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4.25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14.25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4.25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4.25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4.25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4.25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4.25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4.25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4.25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4.25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4.25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4.25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4.25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4.25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4.25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4.25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4.25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4.25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4.25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4.25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4.25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4.25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4.25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4.25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4.25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14.25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14.25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14.25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14.25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ht="14.25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ht="14.25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14.25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ht="14.25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ht="14.25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ht="14.25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ht="14.25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ht="14.25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1:11" ht="14.25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ht="14.25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ht="14.25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ht="14.25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1:11" ht="14.25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1:11" ht="14.25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1:11" ht="14.25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ht="14.25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1:11" ht="14.25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ht="14.25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ht="14.25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ht="14.25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ht="14.25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ht="14.25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ht="14.25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ht="14.25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ht="14.25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ht="14.25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ht="14.25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ht="14.25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ht="14.25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ht="14.25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ht="14.25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ht="14.25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ht="14.25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ht="14.25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ht="14.25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ht="14.25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ht="14.25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ht="14.25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ht="14.25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14.25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14.25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14.25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ht="14.25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14.25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ht="14.25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ht="14.25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ht="14.25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ht="14.25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ht="14.25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ht="14.25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ht="14.25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ht="14.25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ht="14.25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ht="14.25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ht="14.25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ht="14.25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ht="14.25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ht="14.25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ht="14.25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ht="14.25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ht="14.25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ht="14.25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ht="14.25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ht="14.25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ht="14.25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ht="14.25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ht="14.25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ht="14.25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ht="14.25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ht="14.25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ht="14.25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ht="14.25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ht="14.25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ht="14.25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ht="14.25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ht="14.25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ht="14.25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ht="14.25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ht="14.25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ht="14.25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ht="14.25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ht="14.25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1:11" ht="14.25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1:11" ht="14.25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1" ht="14.25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1:11" ht="14.25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1:11" ht="14.25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1:11" ht="14.25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1:11" ht="14.25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1:11" ht="14.25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1:11" ht="14.25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1:11" ht="14.25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1:11" ht="14.25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1:11" ht="14.25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1:11" ht="14.25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1:11" ht="14.25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1:11" ht="14.25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1:11" ht="14.25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1:11" ht="14.25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1:11" ht="14.25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1:11" ht="14.25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1:11" ht="14.25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1:11" ht="14.25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1:11" ht="14.25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1:11" ht="14.25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1:11" ht="14.25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1:11" ht="14.25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1:11" ht="14.25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1:11" ht="14.25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1:11" ht="14.25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1:11" ht="14.25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11" ht="14.25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1:11" ht="14.25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1:11" ht="14.25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1:11" ht="14.25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1:11" ht="14.25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1:11" ht="14.25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1:11" ht="14.25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1:11" ht="14.25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1:11" ht="14.25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1:11" ht="14.25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1:11" ht="14.25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1:11" ht="14.25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1:11" ht="14.25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1:11" ht="14.25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1:11" ht="14.25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1:11" ht="14.25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1:11" ht="14.25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1:11" ht="14.25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1:11" ht="14.25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1:11" ht="14.25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1:11" ht="14.25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1:11" ht="14.25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1:11" ht="14.25" x14ac:dyDescent="0.2">
      <c r="A420" s="19"/>
      <c r="B420" s="19"/>
    </row>
  </sheetData>
  <pageMargins left="0.2" right="0.2" top="0.25" bottom="0.25" header="0.3" footer="0.3"/>
  <pageSetup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O151"/>
  <sheetViews>
    <sheetView zoomScaleNormal="100" workbookViewId="0"/>
  </sheetViews>
  <sheetFormatPr defaultColWidth="11.42578125" defaultRowHeight="15" x14ac:dyDescent="0.2"/>
  <cols>
    <col min="1" max="1" width="11.42578125" style="70" customWidth="1"/>
    <col min="2" max="2" width="30.42578125" style="70" customWidth="1"/>
    <col min="3" max="3" width="14.28515625" style="70" bestFit="1" customWidth="1"/>
    <col min="4" max="4" width="43.85546875" style="70" customWidth="1"/>
    <col min="5" max="5" width="12.28515625" style="92" bestFit="1" customWidth="1"/>
    <col min="6" max="6" width="8.42578125" style="132" bestFit="1" customWidth="1"/>
    <col min="7" max="7" width="11.42578125" style="70" customWidth="1"/>
    <col min="8" max="8" width="15.85546875" style="70" hidden="1" customWidth="1"/>
    <col min="9" max="13" width="0" style="70" hidden="1" customWidth="1"/>
    <col min="14" max="16384" width="11.42578125" style="70"/>
  </cols>
  <sheetData>
    <row r="1" spans="1:13" ht="15.75" x14ac:dyDescent="0.25">
      <c r="A1" s="6" t="s">
        <v>131</v>
      </c>
      <c r="B1" s="3"/>
      <c r="C1" s="3"/>
      <c r="D1" s="3"/>
      <c r="E1" s="84"/>
      <c r="F1" s="124"/>
      <c r="H1" s="73" t="s">
        <v>16</v>
      </c>
      <c r="I1" s="74">
        <v>50</v>
      </c>
      <c r="J1" s="74">
        <v>50</v>
      </c>
      <c r="K1" s="74">
        <v>50</v>
      </c>
      <c r="L1" s="74">
        <v>50</v>
      </c>
      <c r="M1" s="74">
        <v>50</v>
      </c>
    </row>
    <row r="2" spans="1:13" ht="15.75" x14ac:dyDescent="0.25">
      <c r="A2" s="6" t="s">
        <v>18</v>
      </c>
      <c r="B2" s="3"/>
      <c r="C2" s="3"/>
      <c r="D2" s="3"/>
      <c r="E2" s="84"/>
      <c r="F2" s="124"/>
      <c r="H2" s="73" t="s">
        <v>19</v>
      </c>
      <c r="I2" s="74">
        <v>25</v>
      </c>
      <c r="J2" s="74">
        <v>25</v>
      </c>
      <c r="K2" s="74">
        <v>50</v>
      </c>
      <c r="L2" s="74">
        <v>50</v>
      </c>
      <c r="M2" s="74">
        <v>50</v>
      </c>
    </row>
    <row r="3" spans="1:13" ht="15.75" x14ac:dyDescent="0.25">
      <c r="A3" s="6"/>
      <c r="B3" s="3"/>
      <c r="C3" s="3"/>
      <c r="D3" s="3"/>
      <c r="E3" s="84"/>
      <c r="F3" s="124"/>
      <c r="H3" s="75" t="s">
        <v>20</v>
      </c>
      <c r="I3" s="76">
        <v>25</v>
      </c>
      <c r="J3" s="76">
        <v>25</v>
      </c>
      <c r="K3" s="76">
        <v>25</v>
      </c>
      <c r="L3" s="76">
        <v>50</v>
      </c>
      <c r="M3" s="76">
        <v>50</v>
      </c>
    </row>
    <row r="4" spans="1:13" x14ac:dyDescent="0.2">
      <c r="A4" s="3"/>
      <c r="B4" s="3"/>
      <c r="C4" s="3"/>
      <c r="D4" s="3"/>
      <c r="E4" s="84"/>
      <c r="F4" s="124"/>
      <c r="H4" s="75" t="s">
        <v>21</v>
      </c>
      <c r="I4" s="76">
        <v>25</v>
      </c>
      <c r="J4" s="76">
        <v>25</v>
      </c>
      <c r="K4" s="76">
        <v>25</v>
      </c>
      <c r="L4" s="76">
        <v>25</v>
      </c>
      <c r="M4" s="76">
        <v>50</v>
      </c>
    </row>
    <row r="5" spans="1:13" ht="15.75" x14ac:dyDescent="0.25">
      <c r="A5" s="3"/>
      <c r="B5" s="3"/>
      <c r="C5" s="3"/>
      <c r="D5" s="3"/>
      <c r="E5" s="276"/>
      <c r="F5" s="276"/>
      <c r="H5" s="75" t="s">
        <v>22</v>
      </c>
      <c r="I5" s="76">
        <v>50</v>
      </c>
      <c r="J5" s="76">
        <v>50</v>
      </c>
      <c r="K5" s="76">
        <v>50</v>
      </c>
      <c r="L5" s="76">
        <v>50</v>
      </c>
      <c r="M5" s="76">
        <v>50</v>
      </c>
    </row>
    <row r="6" spans="1:13" ht="15.75" x14ac:dyDescent="0.25">
      <c r="A6" s="6">
        <v>1100</v>
      </c>
      <c r="B6" s="6" t="s">
        <v>23</v>
      </c>
      <c r="C6" s="6"/>
      <c r="D6" s="3"/>
      <c r="E6" s="277" t="s">
        <v>246</v>
      </c>
      <c r="F6" s="277"/>
      <c r="H6" s="77" t="s">
        <v>24</v>
      </c>
      <c r="I6" s="78"/>
      <c r="J6" s="78">
        <v>50</v>
      </c>
      <c r="K6" s="78">
        <v>50</v>
      </c>
      <c r="L6" s="78">
        <v>50</v>
      </c>
      <c r="M6" s="78">
        <v>50</v>
      </c>
    </row>
    <row r="7" spans="1:13" x14ac:dyDescent="0.2">
      <c r="A7" s="3"/>
      <c r="B7" s="3"/>
      <c r="C7" s="3"/>
      <c r="D7" s="3"/>
      <c r="E7" s="85" t="s">
        <v>14</v>
      </c>
      <c r="F7" s="124"/>
      <c r="H7" s="77" t="s">
        <v>25</v>
      </c>
      <c r="I7" s="78"/>
      <c r="J7" s="78"/>
      <c r="K7" s="78">
        <v>50</v>
      </c>
      <c r="L7" s="78">
        <v>50</v>
      </c>
      <c r="M7" s="78">
        <v>50</v>
      </c>
    </row>
    <row r="8" spans="1:13" x14ac:dyDescent="0.2">
      <c r="A8" s="3"/>
      <c r="B8" s="9" t="s">
        <v>26</v>
      </c>
      <c r="C8" s="10" t="s">
        <v>29</v>
      </c>
      <c r="D8" s="10" t="s">
        <v>28</v>
      </c>
      <c r="E8" s="86" t="s">
        <v>30</v>
      </c>
      <c r="F8" s="125" t="s">
        <v>31</v>
      </c>
      <c r="H8" s="77" t="s">
        <v>32</v>
      </c>
      <c r="I8" s="78"/>
      <c r="J8" s="78"/>
      <c r="K8" s="78"/>
      <c r="L8" s="78">
        <v>50</v>
      </c>
      <c r="M8" s="78">
        <v>50</v>
      </c>
    </row>
    <row r="9" spans="1:13" ht="15.75" x14ac:dyDescent="0.25">
      <c r="A9" s="3"/>
      <c r="B9" s="6" t="s">
        <v>130</v>
      </c>
      <c r="C9" s="10"/>
      <c r="D9" s="10"/>
      <c r="E9" s="86"/>
      <c r="F9" s="125"/>
      <c r="H9" s="30" t="s">
        <v>33</v>
      </c>
      <c r="I9" s="79">
        <f>SUM(I1:I8)</f>
        <v>175</v>
      </c>
      <c r="J9" s="79">
        <f>SUM(J1:J8)</f>
        <v>225</v>
      </c>
      <c r="K9" s="79">
        <f>SUM(K1:K8)</f>
        <v>300</v>
      </c>
      <c r="L9" s="79">
        <f>SUM(L1:L8)</f>
        <v>375</v>
      </c>
      <c r="M9" s="79">
        <f>SUM(M1:M8)</f>
        <v>400</v>
      </c>
    </row>
    <row r="10" spans="1:13" x14ac:dyDescent="0.2">
      <c r="A10" s="3"/>
      <c r="B10" s="135" t="s">
        <v>260</v>
      </c>
      <c r="C10" s="95">
        <v>42000</v>
      </c>
      <c r="D10" s="139" t="s">
        <v>124</v>
      </c>
      <c r="E10" s="87">
        <f>C10*F10</f>
        <v>42000</v>
      </c>
      <c r="F10" s="123">
        <v>1</v>
      </c>
      <c r="H10" s="70" t="s">
        <v>34</v>
      </c>
      <c r="I10" s="70">
        <v>0</v>
      </c>
      <c r="J10" s="70">
        <v>50</v>
      </c>
      <c r="K10" s="70">
        <v>100</v>
      </c>
      <c r="L10" s="70">
        <v>150</v>
      </c>
      <c r="M10" s="70">
        <v>150</v>
      </c>
    </row>
    <row r="11" spans="1:13" x14ac:dyDescent="0.2">
      <c r="A11" s="3"/>
      <c r="B11" s="94" t="s">
        <v>266</v>
      </c>
      <c r="C11" s="95">
        <v>38000</v>
      </c>
      <c r="D11" s="139" t="s">
        <v>124</v>
      </c>
      <c r="E11" s="87">
        <f t="shared" ref="E11:E21" si="0">C11*F11</f>
        <v>38000</v>
      </c>
      <c r="F11" s="123">
        <v>1</v>
      </c>
    </row>
    <row r="12" spans="1:13" x14ac:dyDescent="0.2">
      <c r="A12" s="3"/>
      <c r="B12" s="94" t="s">
        <v>264</v>
      </c>
      <c r="C12" s="95">
        <v>41000</v>
      </c>
      <c r="D12" s="139" t="s">
        <v>125</v>
      </c>
      <c r="E12" s="87">
        <f t="shared" si="0"/>
        <v>41000</v>
      </c>
      <c r="F12" s="123">
        <v>1</v>
      </c>
    </row>
    <row r="13" spans="1:13" x14ac:dyDescent="0.2">
      <c r="A13" s="3"/>
      <c r="B13" s="94" t="s">
        <v>350</v>
      </c>
      <c r="C13" s="95">
        <v>41000</v>
      </c>
      <c r="D13" s="139" t="s">
        <v>125</v>
      </c>
      <c r="E13" s="87">
        <f t="shared" si="0"/>
        <v>41000</v>
      </c>
      <c r="F13" s="123">
        <v>1</v>
      </c>
    </row>
    <row r="14" spans="1:13" x14ac:dyDescent="0.2">
      <c r="A14" s="3"/>
      <c r="B14" s="94" t="s">
        <v>272</v>
      </c>
      <c r="C14" s="95">
        <v>42000</v>
      </c>
      <c r="D14" s="139" t="s">
        <v>126</v>
      </c>
      <c r="E14" s="87">
        <f t="shared" si="0"/>
        <v>42000</v>
      </c>
      <c r="F14" s="123">
        <v>1</v>
      </c>
    </row>
    <row r="15" spans="1:13" x14ac:dyDescent="0.2">
      <c r="A15" s="3"/>
      <c r="B15" s="94" t="s">
        <v>351</v>
      </c>
      <c r="C15" s="95">
        <v>42478</v>
      </c>
      <c r="D15" s="139" t="s">
        <v>126</v>
      </c>
      <c r="E15" s="96">
        <f t="shared" si="0"/>
        <v>42478</v>
      </c>
      <c r="F15" s="126">
        <v>1</v>
      </c>
    </row>
    <row r="16" spans="1:13" x14ac:dyDescent="0.2">
      <c r="A16" s="3"/>
      <c r="B16" s="94" t="s">
        <v>270</v>
      </c>
      <c r="C16" s="95">
        <v>41000</v>
      </c>
      <c r="D16" s="139" t="s">
        <v>127</v>
      </c>
      <c r="E16" s="96">
        <f t="shared" ref="E16" si="1">C16*F16</f>
        <v>41000</v>
      </c>
      <c r="F16" s="126">
        <v>1</v>
      </c>
    </row>
    <row r="17" spans="1:14" x14ac:dyDescent="0.2">
      <c r="A17" s="3"/>
      <c r="B17" s="94" t="s">
        <v>263</v>
      </c>
      <c r="C17" s="95">
        <v>41000</v>
      </c>
      <c r="D17" s="139" t="s">
        <v>127</v>
      </c>
      <c r="E17" s="96">
        <f>C17*F17</f>
        <v>41000</v>
      </c>
      <c r="F17" s="126">
        <v>1</v>
      </c>
    </row>
    <row r="18" spans="1:14" x14ac:dyDescent="0.2">
      <c r="A18" s="3"/>
      <c r="B18" s="94" t="s">
        <v>261</v>
      </c>
      <c r="C18" s="95">
        <v>42000</v>
      </c>
      <c r="D18" s="139" t="s">
        <v>128</v>
      </c>
      <c r="E18" s="96">
        <f t="shared" si="0"/>
        <v>42000</v>
      </c>
      <c r="F18" s="126">
        <v>1</v>
      </c>
    </row>
    <row r="19" spans="1:14" x14ac:dyDescent="0.2">
      <c r="A19" s="3"/>
      <c r="B19" s="94" t="s">
        <v>353</v>
      </c>
      <c r="C19" s="95">
        <v>43000</v>
      </c>
      <c r="D19" s="139" t="s">
        <v>128</v>
      </c>
      <c r="E19" s="96">
        <f>C19*F19</f>
        <v>43000</v>
      </c>
      <c r="F19" s="126">
        <v>1</v>
      </c>
    </row>
    <row r="20" spans="1:14" x14ac:dyDescent="0.2">
      <c r="A20" s="3"/>
      <c r="B20" s="94" t="s">
        <v>257</v>
      </c>
      <c r="C20" s="95">
        <v>41000</v>
      </c>
      <c r="D20" s="139" t="s">
        <v>256</v>
      </c>
      <c r="E20" s="96">
        <f t="shared" si="0"/>
        <v>41000</v>
      </c>
      <c r="F20" s="126">
        <v>1</v>
      </c>
    </row>
    <row r="21" spans="1:14" x14ac:dyDescent="0.2">
      <c r="A21" s="3"/>
      <c r="B21" s="94" t="s">
        <v>255</v>
      </c>
      <c r="C21" s="95">
        <v>42000</v>
      </c>
      <c r="D21" s="139" t="s">
        <v>254</v>
      </c>
      <c r="E21" s="96">
        <f t="shared" si="0"/>
        <v>42000</v>
      </c>
      <c r="F21" s="126">
        <v>1</v>
      </c>
    </row>
    <row r="22" spans="1:14" x14ac:dyDescent="0.2">
      <c r="A22" s="3"/>
      <c r="B22" s="94"/>
      <c r="C22" s="95"/>
      <c r="D22" s="139"/>
      <c r="E22" s="96"/>
      <c r="F22" s="126"/>
    </row>
    <row r="23" spans="1:14" x14ac:dyDescent="0.2">
      <c r="A23" s="3"/>
      <c r="B23" s="94" t="s">
        <v>272</v>
      </c>
      <c r="C23" s="95">
        <v>41436</v>
      </c>
      <c r="D23" s="139" t="s">
        <v>273</v>
      </c>
      <c r="E23" s="96">
        <f>C23*F23</f>
        <v>41436</v>
      </c>
      <c r="F23" s="126">
        <v>1</v>
      </c>
      <c r="G23" s="71"/>
    </row>
    <row r="24" spans="1:14" x14ac:dyDescent="0.2">
      <c r="A24" s="3"/>
      <c r="B24" s="94" t="s">
        <v>352</v>
      </c>
      <c r="C24" s="95">
        <v>43436</v>
      </c>
      <c r="D24" s="139" t="s">
        <v>142</v>
      </c>
      <c r="E24" s="96">
        <f t="shared" ref="E24" si="2">C24*F24</f>
        <v>43436</v>
      </c>
      <c r="F24" s="126">
        <v>1</v>
      </c>
    </row>
    <row r="25" spans="1:14" x14ac:dyDescent="0.2">
      <c r="A25" s="3"/>
      <c r="B25" s="94" t="s">
        <v>272</v>
      </c>
      <c r="C25" s="95"/>
      <c r="D25" s="139" t="s">
        <v>330</v>
      </c>
      <c r="E25" s="96">
        <f>C25*F25</f>
        <v>0</v>
      </c>
      <c r="F25" s="126"/>
    </row>
    <row r="26" spans="1:14" x14ac:dyDescent="0.2">
      <c r="A26" s="3"/>
      <c r="B26" s="94"/>
      <c r="C26" s="95"/>
      <c r="D26" s="139"/>
      <c r="E26" s="96"/>
      <c r="F26" s="126"/>
    </row>
    <row r="27" spans="1:14" x14ac:dyDescent="0.2">
      <c r="A27" s="3"/>
      <c r="B27" s="94" t="s">
        <v>272</v>
      </c>
      <c r="C27" s="95">
        <v>18000</v>
      </c>
      <c r="D27" s="139" t="s">
        <v>265</v>
      </c>
      <c r="E27" s="96">
        <f>C27*F27</f>
        <v>18000</v>
      </c>
      <c r="F27" s="126">
        <v>1</v>
      </c>
      <c r="N27" s="217"/>
    </row>
    <row r="28" spans="1:14" x14ac:dyDescent="0.2">
      <c r="A28" s="3"/>
      <c r="B28" s="94"/>
      <c r="C28" s="95"/>
      <c r="D28" s="139"/>
      <c r="E28" s="96"/>
      <c r="F28" s="126"/>
    </row>
    <row r="29" spans="1:14" x14ac:dyDescent="0.2">
      <c r="A29" s="3"/>
      <c r="B29" s="94"/>
      <c r="C29" s="95"/>
      <c r="D29" s="139"/>
      <c r="E29" s="96"/>
      <c r="F29" s="126"/>
    </row>
    <row r="30" spans="1:14" x14ac:dyDescent="0.2">
      <c r="A30" s="3"/>
      <c r="B30" s="94"/>
      <c r="C30" s="95"/>
      <c r="D30" s="139"/>
      <c r="E30" s="96"/>
      <c r="F30" s="126"/>
    </row>
    <row r="31" spans="1:14" s="72" customFormat="1" ht="15.75" x14ac:dyDescent="0.25">
      <c r="A31" s="6"/>
      <c r="B31" s="219" t="s">
        <v>135</v>
      </c>
      <c r="C31" s="220"/>
      <c r="D31" s="221"/>
      <c r="E31" s="88">
        <f>SUM(E10:E30)</f>
        <v>599350</v>
      </c>
      <c r="F31" s="127">
        <f>SUM(F10:F30)</f>
        <v>15</v>
      </c>
    </row>
    <row r="32" spans="1:14" ht="15.75" x14ac:dyDescent="0.25">
      <c r="A32" s="3"/>
      <c r="B32" s="222" t="s">
        <v>75</v>
      </c>
      <c r="C32" s="95"/>
      <c r="D32" s="139"/>
      <c r="E32" s="87"/>
      <c r="F32" s="123"/>
    </row>
    <row r="33" spans="1:6" x14ac:dyDescent="0.2">
      <c r="A33" s="3"/>
      <c r="B33" s="94" t="s">
        <v>75</v>
      </c>
      <c r="C33" s="95">
        <v>90</v>
      </c>
      <c r="D33" s="139" t="s">
        <v>129</v>
      </c>
      <c r="E33" s="87">
        <v>40000</v>
      </c>
      <c r="F33" s="123">
        <v>0</v>
      </c>
    </row>
    <row r="34" spans="1:6" ht="15.75" x14ac:dyDescent="0.25">
      <c r="A34" s="3"/>
      <c r="B34" s="219" t="s">
        <v>137</v>
      </c>
      <c r="C34" s="95"/>
      <c r="D34" s="139"/>
      <c r="E34" s="88">
        <f>SUM(E33:E33)</f>
        <v>40000</v>
      </c>
      <c r="F34" s="127">
        <f>SUM(F33:F33)</f>
        <v>0</v>
      </c>
    </row>
    <row r="35" spans="1:6" ht="15.75" x14ac:dyDescent="0.25">
      <c r="A35" s="3"/>
      <c r="B35" s="222" t="s">
        <v>2</v>
      </c>
      <c r="C35" s="95"/>
      <c r="D35" s="139"/>
      <c r="E35" s="87"/>
      <c r="F35" s="123"/>
    </row>
    <row r="36" spans="1:6" x14ac:dyDescent="0.2">
      <c r="A36" s="3"/>
      <c r="B36" s="94" t="s">
        <v>262</v>
      </c>
      <c r="C36" s="95">
        <v>18000</v>
      </c>
      <c r="D36" s="139" t="s">
        <v>207</v>
      </c>
      <c r="E36" s="96">
        <f>C36*F36</f>
        <v>18000</v>
      </c>
      <c r="F36" s="126">
        <v>1</v>
      </c>
    </row>
    <row r="37" spans="1:6" x14ac:dyDescent="0.2">
      <c r="A37" s="3"/>
      <c r="B37" s="94" t="s">
        <v>267</v>
      </c>
      <c r="C37" s="95">
        <v>21000</v>
      </c>
      <c r="D37" s="13" t="s">
        <v>207</v>
      </c>
      <c r="E37" s="96">
        <f>C37*F37</f>
        <v>21000</v>
      </c>
      <c r="F37" s="128">
        <v>1</v>
      </c>
    </row>
    <row r="38" spans="1:6" x14ac:dyDescent="0.2">
      <c r="A38" s="3"/>
      <c r="B38" s="3" t="s">
        <v>413</v>
      </c>
      <c r="C38" s="95">
        <v>18000</v>
      </c>
      <c r="D38" s="13" t="s">
        <v>207</v>
      </c>
      <c r="E38" s="87">
        <f>C38*F38</f>
        <v>13500</v>
      </c>
      <c r="F38" s="128">
        <v>0.75</v>
      </c>
    </row>
    <row r="39" spans="1:6" x14ac:dyDescent="0.2">
      <c r="A39" s="3"/>
      <c r="B39" s="3"/>
      <c r="C39" s="95"/>
      <c r="D39" s="13"/>
      <c r="E39" s="87"/>
      <c r="F39" s="128"/>
    </row>
    <row r="40" spans="1:6" s="72" customFormat="1" ht="15.75" x14ac:dyDescent="0.25">
      <c r="A40" s="6"/>
      <c r="B40" s="83" t="s">
        <v>136</v>
      </c>
      <c r="C40" s="6"/>
      <c r="D40" s="6"/>
      <c r="E40" s="90">
        <f>SUM(E36:E38)</f>
        <v>52500</v>
      </c>
      <c r="F40" s="129">
        <f>SUM(F36:F38)</f>
        <v>2.75</v>
      </c>
    </row>
    <row r="41" spans="1:6" s="72" customFormat="1" ht="15.75" x14ac:dyDescent="0.25">
      <c r="A41" s="6"/>
      <c r="B41" s="83"/>
      <c r="C41" s="6"/>
      <c r="D41" s="6"/>
      <c r="E41" s="90"/>
      <c r="F41" s="129"/>
    </row>
    <row r="42" spans="1:6" ht="16.5" thickBot="1" x14ac:dyDescent="0.3">
      <c r="A42" s="3"/>
      <c r="B42" s="6" t="s">
        <v>36</v>
      </c>
      <c r="C42" s="6"/>
      <c r="D42" s="6"/>
      <c r="E42" s="91">
        <f>E31+E34+E40</f>
        <v>691850</v>
      </c>
      <c r="F42" s="130">
        <f>F40+F34+F31</f>
        <v>17.75</v>
      </c>
    </row>
    <row r="43" spans="1:6" ht="15.75" thickTop="1" x14ac:dyDescent="0.2">
      <c r="A43" s="3"/>
      <c r="B43" s="3"/>
      <c r="C43" s="3"/>
      <c r="D43" s="3"/>
      <c r="E43" s="89"/>
      <c r="F43" s="128"/>
    </row>
    <row r="44" spans="1:6" x14ac:dyDescent="0.2">
      <c r="A44" s="3"/>
      <c r="B44" s="3"/>
      <c r="C44" s="3"/>
      <c r="D44" s="3"/>
      <c r="E44" s="89"/>
      <c r="F44" s="128"/>
    </row>
    <row r="45" spans="1:6" ht="15.75" x14ac:dyDescent="0.25">
      <c r="A45" s="6">
        <v>1200</v>
      </c>
      <c r="B45" s="6" t="s">
        <v>37</v>
      </c>
      <c r="C45" s="6"/>
      <c r="D45" s="3"/>
      <c r="E45" s="84"/>
      <c r="F45" s="129"/>
    </row>
    <row r="46" spans="1:6" x14ac:dyDescent="0.2">
      <c r="A46" s="3"/>
      <c r="B46" s="3"/>
      <c r="C46" s="3"/>
      <c r="D46" s="3"/>
      <c r="E46" s="85" t="s">
        <v>14</v>
      </c>
      <c r="F46" s="128"/>
    </row>
    <row r="47" spans="1:6" x14ac:dyDescent="0.2">
      <c r="A47" s="3"/>
      <c r="B47" s="9" t="s">
        <v>26</v>
      </c>
      <c r="C47" s="10"/>
      <c r="D47" s="10" t="s">
        <v>28</v>
      </c>
      <c r="E47" s="86" t="s">
        <v>29</v>
      </c>
      <c r="F47" s="125" t="s">
        <v>31</v>
      </c>
    </row>
    <row r="48" spans="1:6" ht="15.75" x14ac:dyDescent="0.25">
      <c r="A48" s="3"/>
      <c r="B48" s="6" t="s">
        <v>7</v>
      </c>
      <c r="C48" s="10"/>
      <c r="D48" s="10"/>
      <c r="E48" s="86"/>
      <c r="F48" s="125"/>
    </row>
    <row r="49" spans="1:6" x14ac:dyDescent="0.2">
      <c r="A49" s="94"/>
      <c r="B49" s="94"/>
      <c r="C49" s="95"/>
      <c r="D49" s="94"/>
      <c r="E49" s="87"/>
      <c r="F49" s="123"/>
    </row>
    <row r="50" spans="1:6" x14ac:dyDescent="0.2">
      <c r="A50" s="94"/>
      <c r="B50" s="94" t="s">
        <v>247</v>
      </c>
      <c r="C50" s="95">
        <v>53500</v>
      </c>
      <c r="D50" s="94" t="s">
        <v>399</v>
      </c>
      <c r="E50" s="87">
        <f t="shared" ref="E50:E56" si="3">C50*F50</f>
        <v>17833.333333333332</v>
      </c>
      <c r="F50" s="123">
        <f>4/12</f>
        <v>0.33333333333333331</v>
      </c>
    </row>
    <row r="51" spans="1:6" x14ac:dyDescent="0.2">
      <c r="A51" s="94"/>
      <c r="B51" s="94" t="s">
        <v>269</v>
      </c>
      <c r="C51" s="95">
        <f>(42500/12*5)+(50000/12*7)</f>
        <v>46875</v>
      </c>
      <c r="D51" s="94" t="s">
        <v>268</v>
      </c>
      <c r="E51" s="87">
        <f t="shared" si="3"/>
        <v>46875</v>
      </c>
      <c r="F51" s="123">
        <v>1</v>
      </c>
    </row>
    <row r="52" spans="1:6" x14ac:dyDescent="0.2">
      <c r="A52" s="94"/>
      <c r="B52" s="94" t="s">
        <v>336</v>
      </c>
      <c r="C52" s="95">
        <v>48809</v>
      </c>
      <c r="D52" s="94" t="s">
        <v>268</v>
      </c>
      <c r="E52" s="96">
        <f t="shared" si="3"/>
        <v>48809</v>
      </c>
      <c r="F52" s="126">
        <v>1</v>
      </c>
    </row>
    <row r="53" spans="1:6" x14ac:dyDescent="0.2">
      <c r="A53" s="94"/>
      <c r="B53" s="94" t="s">
        <v>397</v>
      </c>
      <c r="C53" s="95">
        <v>45000</v>
      </c>
      <c r="D53" s="94" t="s">
        <v>398</v>
      </c>
      <c r="E53" s="96">
        <f t="shared" si="3"/>
        <v>33750</v>
      </c>
      <c r="F53" s="126">
        <f>9/12</f>
        <v>0.75</v>
      </c>
    </row>
    <row r="54" spans="1:6" x14ac:dyDescent="0.2">
      <c r="A54" s="94"/>
      <c r="B54" s="94"/>
      <c r="C54" s="95"/>
      <c r="D54" s="94"/>
      <c r="E54" s="96">
        <f>C54*F54</f>
        <v>0</v>
      </c>
      <c r="F54" s="126">
        <v>0</v>
      </c>
    </row>
    <row r="55" spans="1:6" x14ac:dyDescent="0.2">
      <c r="A55" s="94"/>
      <c r="B55" s="94"/>
      <c r="C55" s="95"/>
      <c r="D55" s="94"/>
      <c r="E55" s="96">
        <f t="shared" si="3"/>
        <v>0</v>
      </c>
      <c r="F55" s="126">
        <v>0</v>
      </c>
    </row>
    <row r="56" spans="1:6" x14ac:dyDescent="0.2">
      <c r="A56" s="94"/>
      <c r="B56" s="94"/>
      <c r="C56" s="95"/>
      <c r="D56" s="94"/>
      <c r="E56" s="96">
        <f t="shared" si="3"/>
        <v>0</v>
      </c>
      <c r="F56" s="126">
        <v>0</v>
      </c>
    </row>
    <row r="57" spans="1:6" s="72" customFormat="1" ht="15.75" x14ac:dyDescent="0.25">
      <c r="A57" s="6"/>
      <c r="B57" s="83" t="s">
        <v>138</v>
      </c>
      <c r="C57" s="218"/>
      <c r="D57" s="6"/>
      <c r="E57" s="90">
        <f>SUM(E49:E56)</f>
        <v>147267.33333333331</v>
      </c>
      <c r="F57" s="129">
        <f>SUM(F49:F56)</f>
        <v>3.083333333333333</v>
      </c>
    </row>
    <row r="58" spans="1:6" s="72" customFormat="1" ht="15.75" x14ac:dyDescent="0.25">
      <c r="A58" s="6"/>
      <c r="B58" s="83"/>
      <c r="C58" s="218"/>
      <c r="D58" s="6"/>
      <c r="E58" s="90"/>
      <c r="F58" s="129"/>
    </row>
    <row r="59" spans="1:6" ht="15.75" x14ac:dyDescent="0.25">
      <c r="A59" s="94"/>
      <c r="B59" s="222" t="s">
        <v>38</v>
      </c>
      <c r="C59" s="95"/>
      <c r="D59" s="94"/>
      <c r="E59" s="96"/>
      <c r="F59" s="123"/>
    </row>
    <row r="60" spans="1:6" x14ac:dyDescent="0.2">
      <c r="A60" s="94"/>
      <c r="B60" s="94"/>
      <c r="C60" s="95"/>
      <c r="D60" s="94"/>
      <c r="E60" s="96">
        <f t="shared" ref="E60:E66" si="4">C60*F60</f>
        <v>0</v>
      </c>
      <c r="F60" s="123">
        <v>0</v>
      </c>
    </row>
    <row r="61" spans="1:6" x14ac:dyDescent="0.2">
      <c r="A61" s="94"/>
      <c r="B61" s="94" t="s">
        <v>258</v>
      </c>
      <c r="C61" s="95">
        <v>25000</v>
      </c>
      <c r="D61" s="13" t="s">
        <v>35</v>
      </c>
      <c r="E61" s="96">
        <f t="shared" si="4"/>
        <v>25000</v>
      </c>
      <c r="F61" s="123">
        <v>1</v>
      </c>
    </row>
    <row r="62" spans="1:6" x14ac:dyDescent="0.2">
      <c r="A62" s="94"/>
      <c r="B62" s="94" t="s">
        <v>272</v>
      </c>
      <c r="C62" s="95">
        <v>18000</v>
      </c>
      <c r="D62" s="13" t="s">
        <v>292</v>
      </c>
      <c r="E62" s="96">
        <f t="shared" si="4"/>
        <v>18000</v>
      </c>
      <c r="F62" s="123">
        <v>1</v>
      </c>
    </row>
    <row r="63" spans="1:6" x14ac:dyDescent="0.2">
      <c r="A63" s="94"/>
      <c r="B63" s="94" t="s">
        <v>400</v>
      </c>
      <c r="C63" s="95">
        <v>20000</v>
      </c>
      <c r="D63" s="13" t="s">
        <v>207</v>
      </c>
      <c r="E63" s="87">
        <f t="shared" si="4"/>
        <v>20000</v>
      </c>
      <c r="F63" s="123">
        <v>1</v>
      </c>
    </row>
    <row r="64" spans="1:6" x14ac:dyDescent="0.2">
      <c r="A64" s="3"/>
      <c r="B64" s="3"/>
      <c r="C64" s="95"/>
      <c r="D64" s="3"/>
      <c r="E64" s="87">
        <f t="shared" si="4"/>
        <v>0</v>
      </c>
      <c r="F64" s="128">
        <v>0</v>
      </c>
    </row>
    <row r="65" spans="1:6" x14ac:dyDescent="0.2">
      <c r="A65" s="3"/>
      <c r="B65" s="3"/>
      <c r="C65" s="95"/>
      <c r="D65" s="14"/>
      <c r="E65" s="87">
        <f t="shared" si="4"/>
        <v>0</v>
      </c>
      <c r="F65" s="128"/>
    </row>
    <row r="66" spans="1:6" x14ac:dyDescent="0.2">
      <c r="A66" s="3"/>
      <c r="B66" s="3"/>
      <c r="C66" s="95"/>
      <c r="D66" s="3"/>
      <c r="E66" s="87">
        <f t="shared" si="4"/>
        <v>0</v>
      </c>
      <c r="F66" s="128"/>
    </row>
    <row r="67" spans="1:6" s="72" customFormat="1" ht="15.75" x14ac:dyDescent="0.25">
      <c r="A67" s="6"/>
      <c r="B67" s="83" t="s">
        <v>139</v>
      </c>
      <c r="C67" s="6"/>
      <c r="D67" s="6"/>
      <c r="E67" s="88">
        <f>SUM(E60:E66)</f>
        <v>63000</v>
      </c>
      <c r="F67" s="129">
        <f>SUM(F60:F66)</f>
        <v>3</v>
      </c>
    </row>
    <row r="68" spans="1:6" s="72" customFormat="1" ht="15.75" x14ac:dyDescent="0.25">
      <c r="A68" s="6"/>
      <c r="B68" s="83"/>
      <c r="C68" s="6"/>
      <c r="D68" s="6"/>
      <c r="E68" s="88"/>
      <c r="F68" s="129"/>
    </row>
    <row r="69" spans="1:6" s="72" customFormat="1" ht="16.5" thickBot="1" x14ac:dyDescent="0.3">
      <c r="A69" s="6"/>
      <c r="B69" s="6" t="s">
        <v>39</v>
      </c>
      <c r="C69" s="6"/>
      <c r="D69" s="6"/>
      <c r="E69" s="91">
        <f>E67+E57</f>
        <v>210267.33333333331</v>
      </c>
      <c r="F69" s="130">
        <f>F67+F57</f>
        <v>6.083333333333333</v>
      </c>
    </row>
    <row r="70" spans="1:6" ht="15.75" thickTop="1" x14ac:dyDescent="0.2">
      <c r="A70" s="3"/>
      <c r="B70" s="3"/>
      <c r="C70" s="3"/>
      <c r="D70" s="3"/>
      <c r="E70" s="89"/>
      <c r="F70" s="128"/>
    </row>
    <row r="71" spans="1:6" x14ac:dyDescent="0.2">
      <c r="A71" s="3"/>
      <c r="B71" s="3"/>
      <c r="C71" s="3"/>
      <c r="D71" s="3"/>
      <c r="E71" s="89"/>
      <c r="F71" s="128"/>
    </row>
    <row r="72" spans="1:6" ht="15.75" x14ac:dyDescent="0.25">
      <c r="A72" s="6">
        <v>1400</v>
      </c>
      <c r="B72" s="6" t="s">
        <v>40</v>
      </c>
      <c r="C72" s="6"/>
      <c r="D72" s="3"/>
      <c r="E72" s="84"/>
      <c r="F72" s="129"/>
    </row>
    <row r="73" spans="1:6" x14ac:dyDescent="0.2">
      <c r="A73" s="3"/>
      <c r="B73" s="3"/>
      <c r="C73" s="3"/>
      <c r="D73" s="3"/>
      <c r="E73" s="85" t="s">
        <v>14</v>
      </c>
      <c r="F73" s="128"/>
    </row>
    <row r="74" spans="1:6" x14ac:dyDescent="0.2">
      <c r="A74" s="3"/>
      <c r="B74" s="9" t="s">
        <v>26</v>
      </c>
      <c r="C74" s="10"/>
      <c r="D74" s="10" t="s">
        <v>28</v>
      </c>
      <c r="E74" s="86" t="s">
        <v>29</v>
      </c>
      <c r="F74" s="125" t="s">
        <v>31</v>
      </c>
    </row>
    <row r="75" spans="1:6" ht="15.75" x14ac:dyDescent="0.25">
      <c r="A75" s="3"/>
      <c r="B75" s="222"/>
      <c r="C75" s="95"/>
      <c r="D75" s="139"/>
      <c r="E75" s="87"/>
      <c r="F75" s="123"/>
    </row>
    <row r="76" spans="1:6" x14ac:dyDescent="0.2">
      <c r="A76" s="3"/>
      <c r="B76" s="94"/>
      <c r="C76" s="95"/>
      <c r="D76" s="139"/>
      <c r="E76" s="87">
        <v>0</v>
      </c>
      <c r="F76" s="123">
        <v>0</v>
      </c>
    </row>
    <row r="77" spans="1:6" x14ac:dyDescent="0.2">
      <c r="A77" s="3"/>
      <c r="B77" s="94"/>
      <c r="C77" s="95"/>
      <c r="D77" s="139"/>
      <c r="E77" s="87">
        <f>C77*F77</f>
        <v>0</v>
      </c>
      <c r="F77" s="123">
        <v>0</v>
      </c>
    </row>
    <row r="78" spans="1:6" x14ac:dyDescent="0.2">
      <c r="A78" s="3"/>
      <c r="B78" s="94" t="s">
        <v>409</v>
      </c>
      <c r="C78" s="95">
        <v>42000</v>
      </c>
      <c r="D78" s="139" t="s">
        <v>362</v>
      </c>
      <c r="E78" s="96">
        <f>C78*F78</f>
        <v>42000</v>
      </c>
      <c r="F78" s="126">
        <v>1</v>
      </c>
    </row>
    <row r="79" spans="1:6" x14ac:dyDescent="0.2">
      <c r="A79" s="3"/>
      <c r="B79" s="94" t="s">
        <v>354</v>
      </c>
      <c r="C79" s="95">
        <v>41000</v>
      </c>
      <c r="D79" s="139" t="s">
        <v>271</v>
      </c>
      <c r="E79" s="96">
        <f>C79*F79</f>
        <v>41000</v>
      </c>
      <c r="F79" s="126">
        <v>1</v>
      </c>
    </row>
    <row r="80" spans="1:6" x14ac:dyDescent="0.2">
      <c r="A80" s="3"/>
      <c r="B80" s="223" t="s">
        <v>259</v>
      </c>
      <c r="C80" s="95">
        <v>41000</v>
      </c>
      <c r="D80" s="139" t="s">
        <v>203</v>
      </c>
      <c r="E80" s="96">
        <f>C80*F80</f>
        <v>41000</v>
      </c>
      <c r="F80" s="126">
        <v>1</v>
      </c>
    </row>
    <row r="81" spans="1:9" x14ac:dyDescent="0.2">
      <c r="A81" s="3"/>
      <c r="B81" s="94"/>
      <c r="C81" s="95"/>
      <c r="D81" s="139"/>
      <c r="E81" s="87">
        <f>C81*F81</f>
        <v>0</v>
      </c>
      <c r="F81" s="123">
        <v>0</v>
      </c>
    </row>
    <row r="82" spans="1:9" s="72" customFormat="1" ht="16.5" thickBot="1" x14ac:dyDescent="0.3">
      <c r="A82" s="6"/>
      <c r="B82" s="6" t="s">
        <v>41</v>
      </c>
      <c r="C82" s="6"/>
      <c r="D82" s="6"/>
      <c r="E82" s="91">
        <f>SUM(E76:E81)</f>
        <v>124000</v>
      </c>
      <c r="F82" s="131">
        <f>SUM(F76:F81)</f>
        <v>3</v>
      </c>
    </row>
    <row r="83" spans="1:9" ht="15.75" thickTop="1" x14ac:dyDescent="0.2">
      <c r="A83" s="3"/>
      <c r="B83" s="3"/>
      <c r="C83" s="3"/>
      <c r="D83" s="3"/>
      <c r="E83" s="89"/>
      <c r="F83" s="128"/>
    </row>
    <row r="84" spans="1:9" x14ac:dyDescent="0.2">
      <c r="A84" s="3"/>
      <c r="B84" s="3"/>
      <c r="C84" s="3"/>
      <c r="D84" s="3"/>
      <c r="E84" s="89"/>
      <c r="F84" s="128"/>
    </row>
    <row r="85" spans="1:9" ht="15.75" x14ac:dyDescent="0.25">
      <c r="A85" s="6">
        <v>2100</v>
      </c>
      <c r="B85" s="6" t="s">
        <v>42</v>
      </c>
      <c r="C85" s="6"/>
      <c r="D85" s="3"/>
      <c r="E85" s="84"/>
      <c r="F85" s="129"/>
    </row>
    <row r="86" spans="1:9" x14ac:dyDescent="0.2">
      <c r="A86" s="3"/>
      <c r="B86" s="3"/>
      <c r="C86" s="3"/>
      <c r="D86" s="3"/>
      <c r="E86" s="85" t="s">
        <v>14</v>
      </c>
      <c r="F86" s="128"/>
    </row>
    <row r="87" spans="1:9" x14ac:dyDescent="0.2">
      <c r="A87" s="3"/>
      <c r="B87" s="9" t="s">
        <v>26</v>
      </c>
      <c r="C87" s="10"/>
      <c r="D87" s="10" t="s">
        <v>28</v>
      </c>
      <c r="E87" s="86" t="s">
        <v>29</v>
      </c>
      <c r="F87" s="125" t="s">
        <v>31</v>
      </c>
    </row>
    <row r="88" spans="1:9" x14ac:dyDescent="0.2">
      <c r="A88" s="94"/>
      <c r="B88" s="94"/>
      <c r="C88" s="133"/>
      <c r="D88" s="94"/>
      <c r="E88" s="96">
        <f>C88*F88</f>
        <v>0</v>
      </c>
      <c r="F88" s="126">
        <v>0</v>
      </c>
      <c r="G88" s="31"/>
    </row>
    <row r="89" spans="1:9" x14ac:dyDescent="0.2">
      <c r="A89" s="94"/>
      <c r="B89" s="94" t="s">
        <v>355</v>
      </c>
      <c r="C89" s="133">
        <v>42245</v>
      </c>
      <c r="D89" s="94" t="s">
        <v>328</v>
      </c>
      <c r="E89" s="87">
        <f>C89*F89</f>
        <v>42245</v>
      </c>
      <c r="F89" s="123">
        <v>1</v>
      </c>
      <c r="G89" s="31"/>
    </row>
    <row r="90" spans="1:9" x14ac:dyDescent="0.2">
      <c r="A90" s="94"/>
      <c r="B90" s="94"/>
      <c r="C90" s="133">
        <f>26.5*180</f>
        <v>4770</v>
      </c>
      <c r="D90" s="94" t="s">
        <v>402</v>
      </c>
      <c r="E90" s="87">
        <f>C90</f>
        <v>4770</v>
      </c>
      <c r="F90" s="123">
        <v>0</v>
      </c>
      <c r="G90" s="31"/>
    </row>
    <row r="91" spans="1:9" x14ac:dyDescent="0.2">
      <c r="A91" s="94"/>
      <c r="B91" s="94"/>
      <c r="C91" s="133"/>
      <c r="D91" s="94"/>
      <c r="E91" s="87">
        <f>C91*F91</f>
        <v>0</v>
      </c>
      <c r="F91" s="123">
        <v>0</v>
      </c>
      <c r="G91" s="31"/>
      <c r="H91" s="70" t="s">
        <v>45</v>
      </c>
    </row>
    <row r="92" spans="1:9" x14ac:dyDescent="0.2">
      <c r="A92" s="3"/>
      <c r="B92" s="3"/>
      <c r="C92" s="133"/>
      <c r="D92" s="3"/>
      <c r="E92" s="87">
        <f>C92*F92</f>
        <v>0</v>
      </c>
      <c r="F92" s="128">
        <v>0</v>
      </c>
    </row>
    <row r="93" spans="1:9" s="72" customFormat="1" ht="16.5" thickBot="1" x14ac:dyDescent="0.3">
      <c r="A93" s="6"/>
      <c r="B93" s="6" t="s">
        <v>43</v>
      </c>
      <c r="C93" s="6"/>
      <c r="D93" s="6"/>
      <c r="E93" s="91">
        <f>SUM(E88:E92)</f>
        <v>47015</v>
      </c>
      <c r="F93" s="130">
        <f>SUM(F88:F92)</f>
        <v>1</v>
      </c>
    </row>
    <row r="94" spans="1:9" ht="15.75" thickTop="1" x14ac:dyDescent="0.2">
      <c r="A94" s="3"/>
      <c r="B94" s="3"/>
      <c r="C94" s="3"/>
      <c r="D94" s="3"/>
      <c r="E94" s="89"/>
      <c r="F94" s="128"/>
    </row>
    <row r="95" spans="1:9" x14ac:dyDescent="0.2">
      <c r="A95" s="3"/>
      <c r="B95" s="3"/>
      <c r="C95" s="3"/>
      <c r="D95" s="3"/>
      <c r="E95" s="89"/>
      <c r="F95" s="128"/>
    </row>
    <row r="96" spans="1:9" ht="15.75" x14ac:dyDescent="0.25">
      <c r="A96" s="6">
        <v>2200</v>
      </c>
      <c r="B96" s="6" t="s">
        <v>44</v>
      </c>
      <c r="C96" s="6"/>
      <c r="D96" s="3"/>
      <c r="E96" s="84"/>
      <c r="F96" s="129"/>
      <c r="H96" s="3"/>
      <c r="I96" s="3"/>
    </row>
    <row r="97" spans="1:9" x14ac:dyDescent="0.2">
      <c r="A97" s="3"/>
      <c r="B97" s="3"/>
      <c r="C97" s="3"/>
      <c r="D97" s="3"/>
      <c r="E97" s="85" t="s">
        <v>14</v>
      </c>
      <c r="F97" s="128"/>
      <c r="H97" s="3" t="s">
        <v>48</v>
      </c>
      <c r="I97" s="3"/>
    </row>
    <row r="98" spans="1:9" x14ac:dyDescent="0.2">
      <c r="A98" s="3"/>
      <c r="B98" s="9" t="s">
        <v>26</v>
      </c>
      <c r="C98" s="10"/>
      <c r="D98" s="10" t="s">
        <v>28</v>
      </c>
      <c r="E98" s="86" t="s">
        <v>29</v>
      </c>
      <c r="F98" s="125" t="s">
        <v>31</v>
      </c>
    </row>
    <row r="99" spans="1:9" x14ac:dyDescent="0.2">
      <c r="A99" s="3"/>
      <c r="B99" s="3"/>
      <c r="C99" s="138"/>
      <c r="D99" s="3"/>
      <c r="E99" s="89"/>
      <c r="F99" s="128"/>
    </row>
    <row r="100" spans="1:9" x14ac:dyDescent="0.2">
      <c r="A100" s="3"/>
      <c r="B100" s="3"/>
      <c r="C100" s="3"/>
      <c r="D100" s="3"/>
      <c r="E100" s="89"/>
      <c r="F100" s="128"/>
      <c r="G100" s="3"/>
    </row>
    <row r="101" spans="1:9" x14ac:dyDescent="0.2">
      <c r="A101" s="3"/>
      <c r="B101" s="3"/>
      <c r="C101" s="3"/>
      <c r="D101" s="3"/>
      <c r="E101" s="89"/>
      <c r="F101" s="128"/>
      <c r="G101" s="3"/>
    </row>
    <row r="102" spans="1:9" x14ac:dyDescent="0.2">
      <c r="A102" s="3"/>
      <c r="B102" s="3"/>
      <c r="C102" s="3"/>
      <c r="D102" s="3"/>
      <c r="E102" s="89"/>
      <c r="F102" s="128"/>
    </row>
    <row r="103" spans="1:9" s="72" customFormat="1" ht="16.5" thickBot="1" x14ac:dyDescent="0.3">
      <c r="A103" s="6"/>
      <c r="B103" s="6" t="s">
        <v>46</v>
      </c>
      <c r="C103" s="6"/>
      <c r="D103" s="6"/>
      <c r="E103" s="91">
        <f>SUM(E99:E102)</f>
        <v>0</v>
      </c>
      <c r="F103" s="130">
        <f>SUM(F99:F102)</f>
        <v>0</v>
      </c>
    </row>
    <row r="104" spans="1:9" ht="15.75" thickTop="1" x14ac:dyDescent="0.2">
      <c r="A104" s="3"/>
      <c r="B104" s="3"/>
      <c r="C104" s="3"/>
      <c r="D104" s="3"/>
      <c r="E104" s="89"/>
      <c r="F104" s="128"/>
    </row>
    <row r="105" spans="1:9" x14ac:dyDescent="0.2">
      <c r="A105" s="3"/>
      <c r="B105" s="3"/>
      <c r="C105" s="3"/>
      <c r="D105" s="3"/>
      <c r="E105" s="89"/>
      <c r="F105" s="128"/>
    </row>
    <row r="106" spans="1:9" ht="15.75" x14ac:dyDescent="0.25">
      <c r="A106" s="6">
        <v>2300</v>
      </c>
      <c r="B106" s="6" t="s">
        <v>47</v>
      </c>
      <c r="C106" s="6"/>
      <c r="D106" s="3"/>
      <c r="E106" s="84"/>
      <c r="F106" s="129"/>
    </row>
    <row r="107" spans="1:9" x14ac:dyDescent="0.2">
      <c r="A107" s="3"/>
      <c r="B107" s="3"/>
      <c r="C107" s="3"/>
      <c r="D107" s="3"/>
      <c r="E107" s="85" t="s">
        <v>14</v>
      </c>
      <c r="F107" s="128"/>
      <c r="H107" s="70" t="s">
        <v>52</v>
      </c>
    </row>
    <row r="108" spans="1:9" x14ac:dyDescent="0.2">
      <c r="A108" s="3"/>
      <c r="B108" s="9" t="s">
        <v>26</v>
      </c>
      <c r="C108" s="10"/>
      <c r="D108" s="10" t="s">
        <v>28</v>
      </c>
      <c r="E108" s="86" t="s">
        <v>29</v>
      </c>
      <c r="F108" s="125" t="s">
        <v>31</v>
      </c>
    </row>
    <row r="109" spans="1:9" x14ac:dyDescent="0.2">
      <c r="A109" s="3"/>
      <c r="B109" s="3"/>
      <c r="C109" s="140"/>
      <c r="D109" s="3"/>
      <c r="E109" s="89">
        <f>F109*C109</f>
        <v>0</v>
      </c>
      <c r="F109" s="128">
        <v>0</v>
      </c>
    </row>
    <row r="110" spans="1:9" x14ac:dyDescent="0.2">
      <c r="A110" s="3"/>
      <c r="B110" s="3"/>
      <c r="C110" s="140"/>
      <c r="D110" s="3"/>
      <c r="E110" s="89">
        <f>F110*C110</f>
        <v>0</v>
      </c>
      <c r="F110" s="128">
        <v>0</v>
      </c>
    </row>
    <row r="111" spans="1:9" s="72" customFormat="1" ht="16.5" thickBot="1" x14ac:dyDescent="0.3">
      <c r="A111" s="6"/>
      <c r="B111" s="6" t="s">
        <v>49</v>
      </c>
      <c r="C111" s="6"/>
      <c r="D111" s="6"/>
      <c r="E111" s="91">
        <f>SUM(E109:E110)</f>
        <v>0</v>
      </c>
      <c r="F111" s="130">
        <f>SUM(F109:F110)</f>
        <v>0</v>
      </c>
    </row>
    <row r="112" spans="1:9" ht="15.75" thickTop="1" x14ac:dyDescent="0.2">
      <c r="A112" s="3"/>
      <c r="B112" s="3"/>
      <c r="C112" s="3"/>
      <c r="D112" s="3"/>
      <c r="E112" s="89"/>
      <c r="F112" s="128"/>
    </row>
    <row r="113" spans="1:15" x14ac:dyDescent="0.2">
      <c r="A113" s="3"/>
      <c r="B113" s="3"/>
      <c r="C113" s="3"/>
      <c r="D113" s="3"/>
      <c r="E113" s="89"/>
      <c r="F113" s="128"/>
    </row>
    <row r="114" spans="1:15" ht="15.75" x14ac:dyDescent="0.25">
      <c r="A114" s="6">
        <v>2400</v>
      </c>
      <c r="B114" s="6" t="s">
        <v>50</v>
      </c>
      <c r="C114" s="6"/>
      <c r="D114" s="3"/>
      <c r="E114" s="84"/>
      <c r="F114" s="129"/>
    </row>
    <row r="115" spans="1:15" x14ac:dyDescent="0.2">
      <c r="A115" s="3"/>
      <c r="B115" s="3"/>
      <c r="C115" s="3"/>
      <c r="D115" s="3"/>
      <c r="E115" s="85" t="s">
        <v>14</v>
      </c>
      <c r="F115" s="128"/>
    </row>
    <row r="116" spans="1:15" x14ac:dyDescent="0.2">
      <c r="A116" s="3"/>
      <c r="B116" s="9" t="s">
        <v>26</v>
      </c>
      <c r="C116" s="10" t="s">
        <v>27</v>
      </c>
      <c r="D116" s="10" t="s">
        <v>28</v>
      </c>
      <c r="E116" s="86" t="s">
        <v>29</v>
      </c>
      <c r="F116" s="125" t="s">
        <v>31</v>
      </c>
    </row>
    <row r="117" spans="1:15" x14ac:dyDescent="0.2">
      <c r="A117" s="3"/>
      <c r="B117" s="9"/>
      <c r="C117" s="121"/>
      <c r="D117" s="13"/>
      <c r="E117" s="87">
        <f>C117*F117</f>
        <v>0</v>
      </c>
      <c r="F117" s="123"/>
      <c r="G117" s="134"/>
    </row>
    <row r="118" spans="1:15" x14ac:dyDescent="0.2">
      <c r="A118" s="94"/>
      <c r="B118" s="94" t="s">
        <v>248</v>
      </c>
      <c r="C118" s="133">
        <v>70000</v>
      </c>
      <c r="D118" s="94" t="s">
        <v>51</v>
      </c>
      <c r="E118" s="96">
        <f>C118*F118</f>
        <v>70000</v>
      </c>
      <c r="F118" s="126">
        <v>1</v>
      </c>
      <c r="G118" s="135"/>
    </row>
    <row r="119" spans="1:15" x14ac:dyDescent="0.2">
      <c r="A119" s="94"/>
      <c r="B119" s="94" t="s">
        <v>249</v>
      </c>
      <c r="C119" s="133">
        <v>58000</v>
      </c>
      <c r="D119" s="94" t="s">
        <v>360</v>
      </c>
      <c r="E119" s="96">
        <f>C119*F119</f>
        <v>58000</v>
      </c>
      <c r="F119" s="126">
        <v>1</v>
      </c>
      <c r="G119" s="135"/>
      <c r="N119" s="3"/>
      <c r="O119" s="3"/>
    </row>
    <row r="120" spans="1:15" x14ac:dyDescent="0.2">
      <c r="A120" s="94"/>
      <c r="B120" s="94" t="s">
        <v>251</v>
      </c>
      <c r="C120" s="133">
        <v>57500</v>
      </c>
      <c r="D120" s="94" t="s">
        <v>250</v>
      </c>
      <c r="E120" s="96">
        <f>C120*F120</f>
        <v>57500</v>
      </c>
      <c r="F120" s="126">
        <v>1</v>
      </c>
      <c r="G120" s="135"/>
      <c r="N120" s="3"/>
      <c r="O120" s="3"/>
    </row>
    <row r="121" spans="1:15" x14ac:dyDescent="0.2">
      <c r="A121" s="94"/>
      <c r="B121" s="94" t="s">
        <v>272</v>
      </c>
      <c r="C121" s="133">
        <v>25000</v>
      </c>
      <c r="D121" s="3" t="s">
        <v>202</v>
      </c>
      <c r="E121" s="87">
        <f>C121*F121</f>
        <v>25000</v>
      </c>
      <c r="F121" s="123">
        <v>1</v>
      </c>
      <c r="G121" s="136"/>
      <c r="N121" s="3"/>
      <c r="O121" s="3"/>
    </row>
    <row r="122" spans="1:15" s="72" customFormat="1" ht="16.5" thickBot="1" x14ac:dyDescent="0.3">
      <c r="A122" s="6"/>
      <c r="B122" s="6" t="s">
        <v>53</v>
      </c>
      <c r="C122" s="6"/>
      <c r="D122" s="6"/>
      <c r="E122" s="91">
        <f>SUM(E117:E121)</f>
        <v>210500</v>
      </c>
      <c r="F122" s="131">
        <f>SUM(F117:F121)</f>
        <v>4</v>
      </c>
      <c r="G122" s="137"/>
      <c r="N122" s="6"/>
      <c r="O122" s="6"/>
    </row>
    <row r="123" spans="1:15" ht="15.75" thickTop="1" x14ac:dyDescent="0.2">
      <c r="A123" s="3"/>
      <c r="B123" s="3"/>
      <c r="C123" s="3"/>
      <c r="D123" s="3"/>
      <c r="E123" s="89"/>
      <c r="F123" s="128"/>
      <c r="N123" s="3"/>
      <c r="O123" s="3"/>
    </row>
    <row r="124" spans="1:15" x14ac:dyDescent="0.2">
      <c r="A124" s="3"/>
      <c r="B124" s="3"/>
      <c r="C124" s="3"/>
      <c r="D124" s="3"/>
      <c r="E124" s="89"/>
      <c r="F124" s="128"/>
      <c r="N124" s="3"/>
      <c r="O124" s="3"/>
    </row>
    <row r="125" spans="1:15" ht="15.75" x14ac:dyDescent="0.25">
      <c r="A125" s="6">
        <v>2500</v>
      </c>
      <c r="B125" s="6" t="s">
        <v>54</v>
      </c>
      <c r="C125" s="6"/>
      <c r="D125" s="3"/>
      <c r="E125" s="84"/>
      <c r="F125" s="129"/>
      <c r="N125" s="3"/>
      <c r="O125" s="3"/>
    </row>
    <row r="126" spans="1:15" x14ac:dyDescent="0.2">
      <c r="A126" s="3"/>
      <c r="B126" s="3"/>
      <c r="C126" s="3"/>
      <c r="D126" s="3"/>
      <c r="E126" s="85" t="s">
        <v>14</v>
      </c>
      <c r="F126" s="128"/>
      <c r="N126" s="3"/>
      <c r="O126" s="3"/>
    </row>
    <row r="127" spans="1:15" x14ac:dyDescent="0.2">
      <c r="A127" s="3"/>
      <c r="B127" s="9" t="s">
        <v>26</v>
      </c>
      <c r="C127" s="10"/>
      <c r="D127" s="10" t="s">
        <v>28</v>
      </c>
      <c r="E127" s="86" t="s">
        <v>29</v>
      </c>
      <c r="F127" s="125" t="s">
        <v>31</v>
      </c>
      <c r="N127" s="3"/>
      <c r="O127" s="3"/>
    </row>
    <row r="128" spans="1:15" x14ac:dyDescent="0.2">
      <c r="A128" s="3"/>
      <c r="B128" s="3" t="s">
        <v>252</v>
      </c>
      <c r="C128" s="80">
        <f>50000+4000</f>
        <v>54000</v>
      </c>
      <c r="D128" s="3" t="s">
        <v>253</v>
      </c>
      <c r="E128" s="89">
        <f>C128*F128</f>
        <v>54000</v>
      </c>
      <c r="F128" s="128">
        <v>1</v>
      </c>
      <c r="N128" s="3"/>
      <c r="O128" s="3"/>
    </row>
    <row r="129" spans="1:7" x14ac:dyDescent="0.2">
      <c r="A129" s="3"/>
      <c r="B129" s="3"/>
      <c r="C129" s="80"/>
      <c r="D129" s="3"/>
      <c r="E129" s="89"/>
      <c r="F129" s="128">
        <v>0</v>
      </c>
    </row>
    <row r="130" spans="1:7" x14ac:dyDescent="0.2">
      <c r="A130" s="3"/>
      <c r="B130" s="3"/>
      <c r="C130" s="3"/>
      <c r="D130" s="3"/>
      <c r="E130" s="89"/>
      <c r="F130" s="128"/>
    </row>
    <row r="131" spans="1:7" s="72" customFormat="1" ht="16.5" thickBot="1" x14ac:dyDescent="0.3">
      <c r="A131" s="6"/>
      <c r="B131" s="6" t="s">
        <v>55</v>
      </c>
      <c r="C131" s="6"/>
      <c r="D131" s="6"/>
      <c r="E131" s="91">
        <f>SUM(E128:E130)</f>
        <v>54000</v>
      </c>
      <c r="F131" s="130">
        <f>SUM(F128:F130)</f>
        <v>1</v>
      </c>
    </row>
    <row r="132" spans="1:7" ht="15.75" thickTop="1" x14ac:dyDescent="0.2">
      <c r="A132" s="3"/>
      <c r="B132" s="3"/>
      <c r="C132" s="3"/>
      <c r="D132" s="3"/>
      <c r="E132" s="89"/>
      <c r="F132" s="128"/>
      <c r="G132" s="15"/>
    </row>
    <row r="133" spans="1:7" x14ac:dyDescent="0.2">
      <c r="A133" s="3"/>
      <c r="B133" s="3"/>
      <c r="C133" s="3"/>
      <c r="D133" s="3"/>
      <c r="E133" s="89"/>
      <c r="F133" s="128"/>
    </row>
    <row r="134" spans="1:7" ht="15.75" x14ac:dyDescent="0.25">
      <c r="A134" s="6">
        <v>2600</v>
      </c>
      <c r="B134" s="6" t="s">
        <v>56</v>
      </c>
      <c r="C134" s="6"/>
      <c r="D134" s="3"/>
      <c r="E134" s="84"/>
      <c r="F134" s="129"/>
    </row>
    <row r="135" spans="1:7" x14ac:dyDescent="0.2">
      <c r="A135" s="3"/>
      <c r="B135" s="3"/>
      <c r="C135" s="3"/>
      <c r="D135" s="3"/>
      <c r="E135" s="85" t="s">
        <v>14</v>
      </c>
      <c r="F135" s="128"/>
    </row>
    <row r="136" spans="1:7" x14ac:dyDescent="0.2">
      <c r="A136" s="3"/>
      <c r="B136" s="9" t="s">
        <v>26</v>
      </c>
      <c r="C136" s="10"/>
      <c r="D136" s="10" t="s">
        <v>28</v>
      </c>
      <c r="E136" s="86" t="s">
        <v>29</v>
      </c>
      <c r="F136" s="125" t="s">
        <v>31</v>
      </c>
    </row>
    <row r="137" spans="1:7" x14ac:dyDescent="0.2">
      <c r="A137" s="3"/>
      <c r="B137" s="3"/>
      <c r="C137" s="80"/>
      <c r="D137" s="3"/>
      <c r="E137" s="89">
        <f>C137*F137</f>
        <v>0</v>
      </c>
      <c r="F137" s="128">
        <v>0</v>
      </c>
    </row>
    <row r="138" spans="1:7" x14ac:dyDescent="0.2">
      <c r="A138" s="3"/>
      <c r="B138" s="3"/>
      <c r="C138" s="80"/>
      <c r="D138" s="3"/>
      <c r="E138" s="89">
        <f>C138*F138</f>
        <v>0</v>
      </c>
      <c r="F138" s="128">
        <v>0</v>
      </c>
    </row>
    <row r="139" spans="1:7" x14ac:dyDescent="0.2">
      <c r="A139" s="3"/>
      <c r="B139" s="3"/>
      <c r="C139" s="80"/>
      <c r="D139" s="3"/>
      <c r="E139" s="89"/>
      <c r="F139" s="128"/>
    </row>
    <row r="140" spans="1:7" s="72" customFormat="1" ht="16.5" thickBot="1" x14ac:dyDescent="0.3">
      <c r="A140" s="6"/>
      <c r="B140" s="6" t="s">
        <v>57</v>
      </c>
      <c r="C140" s="6"/>
      <c r="D140" s="6"/>
      <c r="E140" s="91">
        <f>SUM(E137:E138)</f>
        <v>0</v>
      </c>
      <c r="F140" s="130">
        <f>SUM(F137:F138)</f>
        <v>0</v>
      </c>
    </row>
    <row r="141" spans="1:7" ht="15.75" thickTop="1" x14ac:dyDescent="0.2">
      <c r="A141" s="3"/>
      <c r="B141" s="3"/>
      <c r="C141" s="3"/>
      <c r="D141" s="3"/>
      <c r="E141" s="89"/>
      <c r="F141" s="128"/>
    </row>
    <row r="142" spans="1:7" x14ac:dyDescent="0.2">
      <c r="A142" s="3"/>
      <c r="B142" s="3"/>
      <c r="C142" s="3"/>
      <c r="D142" s="3"/>
      <c r="E142" s="89"/>
      <c r="F142" s="128"/>
    </row>
    <row r="143" spans="1:7" ht="15.75" x14ac:dyDescent="0.25">
      <c r="A143" s="3"/>
      <c r="B143" s="6" t="s">
        <v>58</v>
      </c>
      <c r="C143" s="3"/>
      <c r="D143" s="3"/>
      <c r="E143" s="90">
        <f>E140+E131+E122+E111+E103+E93+E82+E69+E42</f>
        <v>1337632.3333333333</v>
      </c>
      <c r="F143" s="129">
        <f>F140+F131+F122+F111+F103+F93+F82+F69+F42</f>
        <v>32.833333333333329</v>
      </c>
    </row>
    <row r="151" spans="14:14" x14ac:dyDescent="0.2">
      <c r="N151" s="92"/>
    </row>
  </sheetData>
  <mergeCells count="2">
    <mergeCell ref="E5:F5"/>
    <mergeCell ref="E6:F6"/>
  </mergeCells>
  <pageMargins left="0.2" right="0.2" top="0.25" bottom="0.25" header="0.3" footer="0.3"/>
  <pageSetup scale="77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T61"/>
  <sheetViews>
    <sheetView workbookViewId="0">
      <selection activeCell="C8" sqref="C8"/>
    </sheetView>
  </sheetViews>
  <sheetFormatPr defaultRowHeight="12.75" x14ac:dyDescent="0.2"/>
  <cols>
    <col min="1" max="1" width="36" customWidth="1"/>
    <col min="4" max="4" width="11" customWidth="1"/>
    <col min="5" max="5" width="2.7109375" customWidth="1"/>
    <col min="6" max="7" width="11" customWidth="1"/>
    <col min="9" max="9" width="12.28515625" bestFit="1" customWidth="1"/>
    <col min="10" max="10" width="12.5703125" bestFit="1" customWidth="1"/>
    <col min="12" max="12" width="12.5703125" bestFit="1" customWidth="1"/>
    <col min="15" max="15" width="11.5703125" bestFit="1" customWidth="1"/>
  </cols>
  <sheetData>
    <row r="1" spans="1:20" ht="15" x14ac:dyDescent="0.25">
      <c r="A1" s="143" t="s">
        <v>224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44"/>
      <c r="N1" s="144"/>
      <c r="O1" s="144"/>
      <c r="P1" s="144"/>
      <c r="Q1" s="144"/>
      <c r="R1" s="144"/>
      <c r="S1" s="144"/>
      <c r="T1" s="144"/>
    </row>
    <row r="2" spans="1:20" ht="15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44"/>
      <c r="N2" s="144"/>
      <c r="O2" s="144"/>
      <c r="P2" s="144"/>
      <c r="Q2" s="144"/>
      <c r="R2" s="144"/>
      <c r="S2" s="144"/>
      <c r="T2" s="144"/>
    </row>
    <row r="3" spans="1:20" ht="15" x14ac:dyDescent="0.25">
      <c r="A3" s="144"/>
      <c r="B3" s="146"/>
      <c r="C3" s="278" t="s">
        <v>213</v>
      </c>
      <c r="D3" s="278"/>
      <c r="E3" s="146"/>
      <c r="F3" s="278" t="s">
        <v>214</v>
      </c>
      <c r="G3" s="278"/>
      <c r="H3" s="146"/>
      <c r="I3" s="146"/>
      <c r="J3" s="146"/>
      <c r="K3" s="146"/>
      <c r="L3" s="147"/>
      <c r="M3" s="144"/>
      <c r="N3" s="144"/>
      <c r="O3" s="144"/>
      <c r="P3" s="144"/>
      <c r="Q3" s="144"/>
      <c r="R3" s="144"/>
      <c r="S3" s="144"/>
      <c r="T3" s="144"/>
    </row>
    <row r="4" spans="1:20" ht="31.5" customHeight="1" x14ac:dyDescent="0.25">
      <c r="A4" s="144"/>
      <c r="B4" s="146" t="s">
        <v>210</v>
      </c>
      <c r="C4" s="146" t="s">
        <v>211</v>
      </c>
      <c r="D4" s="148" t="s">
        <v>212</v>
      </c>
      <c r="E4" s="148"/>
      <c r="F4" s="146" t="s">
        <v>211</v>
      </c>
      <c r="G4" s="148" t="s">
        <v>212</v>
      </c>
      <c r="H4" s="148"/>
      <c r="I4" s="146" t="s">
        <v>213</v>
      </c>
      <c r="J4" s="146" t="s">
        <v>214</v>
      </c>
      <c r="K4" s="146"/>
      <c r="L4" s="147" t="s">
        <v>14</v>
      </c>
      <c r="M4" s="144"/>
      <c r="N4" s="144"/>
      <c r="O4" s="144"/>
      <c r="P4" s="144"/>
      <c r="Q4" s="144"/>
      <c r="R4" s="144"/>
      <c r="S4" s="144"/>
      <c r="T4" s="144"/>
    </row>
    <row r="5" spans="1:20" ht="15" x14ac:dyDescent="0.2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  <c r="M5" s="144"/>
      <c r="N5" s="144"/>
      <c r="O5" s="144"/>
      <c r="P5" s="144"/>
      <c r="Q5" s="144"/>
      <c r="R5" s="144"/>
      <c r="S5" s="144"/>
      <c r="T5" s="144"/>
    </row>
    <row r="6" spans="1:20" ht="15" x14ac:dyDescent="0.25">
      <c r="A6" s="144" t="s">
        <v>166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5"/>
      <c r="M6" s="144"/>
      <c r="N6" s="144"/>
      <c r="O6" s="144"/>
      <c r="P6" s="144"/>
      <c r="Q6" s="144"/>
      <c r="R6" s="144"/>
      <c r="S6" s="144"/>
      <c r="T6" s="144"/>
    </row>
    <row r="7" spans="1:20" ht="15" x14ac:dyDescent="0.25">
      <c r="A7" s="144" t="s">
        <v>215</v>
      </c>
      <c r="B7" s="146">
        <f>'Assumption Data'!B16</f>
        <v>327</v>
      </c>
      <c r="C7" s="149">
        <v>0.35</v>
      </c>
      <c r="D7" s="150">
        <f>C7*B7</f>
        <v>114.44999999999999</v>
      </c>
      <c r="E7" s="150"/>
      <c r="F7" s="149">
        <v>0.75</v>
      </c>
      <c r="G7" s="150">
        <f>F7*B7</f>
        <v>245.25</v>
      </c>
      <c r="H7" s="150"/>
      <c r="I7" s="151">
        <f>D7*B26*180</f>
        <v>35227.709999999992</v>
      </c>
      <c r="J7" s="151">
        <f>G7*B27*180</f>
        <v>142146.9</v>
      </c>
      <c r="K7" s="144"/>
      <c r="L7" s="145">
        <f>SUM(I7:K7)</f>
        <v>177374.61</v>
      </c>
      <c r="M7" s="144"/>
      <c r="N7" s="144"/>
      <c r="O7" s="152"/>
      <c r="P7" s="144"/>
      <c r="Q7" s="144"/>
      <c r="R7" s="144"/>
      <c r="S7" s="144"/>
      <c r="T7" s="144"/>
    </row>
    <row r="8" spans="1:20" ht="15" x14ac:dyDescent="0.25">
      <c r="A8" s="152" t="s">
        <v>216</v>
      </c>
      <c r="B8" s="146">
        <f>B7</f>
        <v>327</v>
      </c>
      <c r="C8" s="149"/>
      <c r="D8" s="150">
        <f>C8*B8</f>
        <v>0</v>
      </c>
      <c r="E8" s="150"/>
      <c r="F8" s="149"/>
      <c r="G8" s="150">
        <f>F8*B8</f>
        <v>0</v>
      </c>
      <c r="H8" s="150"/>
      <c r="I8" s="151">
        <f>D8*180*B32</f>
        <v>0</v>
      </c>
      <c r="J8" s="151">
        <f>G8*180*B33</f>
        <v>0</v>
      </c>
      <c r="K8" s="144"/>
      <c r="L8" s="145">
        <f>SUM(I8:K8)</f>
        <v>0</v>
      </c>
      <c r="M8" s="144"/>
      <c r="N8" s="144"/>
      <c r="O8" s="152"/>
      <c r="P8" s="144"/>
      <c r="Q8" s="144"/>
      <c r="R8" s="144"/>
      <c r="S8" s="144"/>
      <c r="T8" s="144"/>
    </row>
    <row r="9" spans="1:20" ht="15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</row>
    <row r="10" spans="1:20" ht="15" x14ac:dyDescent="0.2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</row>
    <row r="11" spans="1:20" ht="15" x14ac:dyDescent="0.25">
      <c r="A11" s="144"/>
      <c r="B11" s="144"/>
      <c r="C11" s="144"/>
      <c r="D11" s="144"/>
      <c r="E11" s="144"/>
      <c r="F11" s="144"/>
      <c r="G11" s="144"/>
      <c r="H11" s="144"/>
      <c r="I11" s="154"/>
      <c r="J11" s="154"/>
      <c r="K11" s="154"/>
      <c r="L11" s="155"/>
      <c r="M11" s="144"/>
      <c r="N11" s="144"/>
      <c r="O11" s="144"/>
      <c r="P11" s="144"/>
      <c r="Q11" s="144"/>
      <c r="R11" s="144"/>
      <c r="S11" s="144"/>
      <c r="T11" s="144"/>
    </row>
    <row r="12" spans="1:20" ht="15.75" thickBot="1" x14ac:dyDescent="0.3">
      <c r="A12" s="144" t="s">
        <v>217</v>
      </c>
      <c r="B12" s="144"/>
      <c r="C12" s="144"/>
      <c r="D12" s="144"/>
      <c r="E12" s="144"/>
      <c r="F12" s="144"/>
      <c r="G12" s="144"/>
      <c r="H12" s="144"/>
      <c r="I12" s="156">
        <f>SUM(I7:I11)</f>
        <v>35227.709999999992</v>
      </c>
      <c r="J12" s="156">
        <f>SUM(J7:J11)</f>
        <v>142146.9</v>
      </c>
      <c r="K12" s="156"/>
      <c r="L12" s="157">
        <f>SUM(L7:L11)</f>
        <v>177374.61</v>
      </c>
      <c r="M12" s="144"/>
      <c r="N12" s="144"/>
      <c r="O12" s="144"/>
      <c r="P12" s="144"/>
      <c r="Q12" s="144"/>
      <c r="R12" s="144"/>
      <c r="S12" s="144"/>
      <c r="T12" s="144"/>
    </row>
    <row r="13" spans="1:20" ht="15" x14ac:dyDescent="0.2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M13" s="144"/>
      <c r="N13" s="144"/>
      <c r="O13" s="144"/>
      <c r="P13" s="144"/>
      <c r="Q13" s="144"/>
      <c r="R13" s="144"/>
      <c r="S13" s="144"/>
      <c r="T13" s="144"/>
    </row>
    <row r="14" spans="1:20" ht="15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  <c r="M14" s="144"/>
      <c r="N14" s="144"/>
      <c r="O14" s="144"/>
      <c r="P14" s="144"/>
      <c r="Q14" s="144"/>
      <c r="R14" s="144"/>
      <c r="S14" s="144"/>
      <c r="T14" s="144"/>
    </row>
    <row r="15" spans="1:20" ht="15" x14ac:dyDescent="0.25">
      <c r="A15" s="144" t="s">
        <v>225</v>
      </c>
      <c r="B15" s="144"/>
      <c r="C15" s="144"/>
      <c r="D15" s="144"/>
      <c r="E15" s="144"/>
      <c r="F15" s="144"/>
      <c r="G15" s="144"/>
      <c r="H15" s="144"/>
      <c r="I15" s="151">
        <f>(D7+D8)*180*B38</f>
        <v>32755.589999999997</v>
      </c>
      <c r="J15" s="151">
        <f>(G7+G8)*180*B39</f>
        <v>140381.1</v>
      </c>
      <c r="K15" s="144"/>
      <c r="L15" s="145">
        <f>SUM(I15:K15)</f>
        <v>173136.69</v>
      </c>
      <c r="M15" s="144"/>
      <c r="N15" s="144"/>
      <c r="O15" s="144"/>
      <c r="P15" s="144"/>
      <c r="Q15" s="144"/>
      <c r="R15" s="144"/>
      <c r="S15" s="144"/>
      <c r="T15" s="144"/>
    </row>
    <row r="16" spans="1:20" ht="15" x14ac:dyDescent="0.25">
      <c r="A16" s="144" t="s">
        <v>218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5">
        <v>6000</v>
      </c>
      <c r="M16" s="144"/>
      <c r="N16" s="144"/>
      <c r="O16" s="144"/>
      <c r="P16" s="144"/>
      <c r="Q16" s="144"/>
      <c r="R16" s="144"/>
      <c r="S16" s="144"/>
      <c r="T16" s="144"/>
    </row>
    <row r="17" spans="1:20" ht="15" x14ac:dyDescent="0.2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5"/>
      <c r="M17" s="144"/>
      <c r="N17" s="144"/>
      <c r="O17" s="144"/>
      <c r="P17" s="144"/>
      <c r="Q17" s="144"/>
      <c r="R17" s="144"/>
      <c r="S17" s="144"/>
      <c r="T17" s="144"/>
    </row>
    <row r="18" spans="1:20" ht="15.75" thickBot="1" x14ac:dyDescent="0.3">
      <c r="A18" s="144" t="s">
        <v>219</v>
      </c>
      <c r="B18" s="144"/>
      <c r="C18" s="144"/>
      <c r="D18" s="144"/>
      <c r="E18" s="144"/>
      <c r="F18" s="144"/>
      <c r="G18" s="144"/>
      <c r="H18" s="144"/>
      <c r="I18" s="156">
        <f>SUM(I15:I17)</f>
        <v>32755.589999999997</v>
      </c>
      <c r="J18" s="156">
        <f>SUM(J15:J17)</f>
        <v>140381.1</v>
      </c>
      <c r="K18" s="156"/>
      <c r="L18" s="156">
        <f>SUM(L15:L17)</f>
        <v>179136.69</v>
      </c>
      <c r="M18" s="144"/>
      <c r="N18" s="144"/>
      <c r="O18" s="144"/>
      <c r="P18" s="144"/>
      <c r="Q18" s="144"/>
      <c r="R18" s="144"/>
      <c r="S18" s="144"/>
      <c r="T18" s="144"/>
    </row>
    <row r="19" spans="1:20" ht="15" x14ac:dyDescent="0.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5"/>
      <c r="M19" s="144"/>
      <c r="N19" s="144"/>
      <c r="O19" s="151"/>
      <c r="P19" s="144"/>
      <c r="Q19" s="144"/>
      <c r="R19" s="144"/>
      <c r="S19" s="144"/>
      <c r="T19" s="144"/>
    </row>
    <row r="20" spans="1:20" ht="15" x14ac:dyDescent="0.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5"/>
      <c r="M20" s="144"/>
      <c r="N20" s="144"/>
      <c r="O20" s="144"/>
      <c r="P20" s="144"/>
      <c r="Q20" s="144"/>
      <c r="R20" s="144"/>
      <c r="S20" s="144"/>
      <c r="T20" s="144"/>
    </row>
    <row r="21" spans="1:20" ht="15" x14ac:dyDescent="0.25">
      <c r="A21" s="144" t="s">
        <v>220</v>
      </c>
      <c r="B21" s="144"/>
      <c r="C21" s="144"/>
      <c r="D21" s="144"/>
      <c r="E21" s="144"/>
      <c r="F21" s="144"/>
      <c r="G21" s="144"/>
      <c r="H21" s="144"/>
      <c r="I21" s="151">
        <f>I12-I18</f>
        <v>2472.1199999999953</v>
      </c>
      <c r="J21" s="158">
        <f>J12-J18</f>
        <v>1765.7999999999884</v>
      </c>
      <c r="K21" s="151"/>
      <c r="L21" s="158">
        <f>L12-L18</f>
        <v>-1762.0800000000163</v>
      </c>
      <c r="M21" s="144"/>
      <c r="N21" s="144"/>
      <c r="O21" s="144"/>
      <c r="P21" s="144"/>
      <c r="Q21" s="144"/>
      <c r="R21" s="144"/>
      <c r="S21" s="144"/>
      <c r="T21" s="144"/>
    </row>
    <row r="22" spans="1:20" ht="15" x14ac:dyDescent="0.2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5"/>
      <c r="M22" s="144"/>
      <c r="N22" s="144"/>
      <c r="O22" s="144"/>
      <c r="P22" s="144"/>
      <c r="Q22" s="144"/>
      <c r="R22" s="144"/>
      <c r="S22" s="144"/>
      <c r="T22" s="144"/>
    </row>
    <row r="23" spans="1:20" ht="15" x14ac:dyDescent="0.2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5"/>
      <c r="M23" s="144"/>
      <c r="N23" s="144"/>
      <c r="O23" s="144"/>
      <c r="P23" s="144"/>
      <c r="Q23" s="144"/>
      <c r="R23" s="144"/>
      <c r="S23" s="144"/>
      <c r="T23" s="144"/>
    </row>
    <row r="24" spans="1:20" ht="15" x14ac:dyDescent="0.25">
      <c r="A24" s="144" t="s">
        <v>221</v>
      </c>
      <c r="B24" s="145"/>
      <c r="C24" s="144"/>
      <c r="D24" s="144"/>
      <c r="E24" s="144"/>
      <c r="F24" s="144"/>
      <c r="G24" s="144"/>
      <c r="H24" s="144"/>
      <c r="I24" s="144"/>
      <c r="J24" s="144"/>
      <c r="K24" s="144"/>
      <c r="L24" s="145"/>
      <c r="M24" s="144"/>
      <c r="N24" s="144"/>
      <c r="O24" s="144"/>
      <c r="P24" s="144"/>
      <c r="Q24" s="144"/>
      <c r="R24" s="144"/>
      <c r="S24" s="144"/>
      <c r="T24" s="144"/>
    </row>
    <row r="25" spans="1:20" ht="15" x14ac:dyDescent="0.25">
      <c r="A25" s="144"/>
      <c r="B25" s="145"/>
      <c r="C25" s="144"/>
      <c r="D25" s="144"/>
      <c r="E25" s="144"/>
      <c r="F25" s="144"/>
      <c r="G25" s="144"/>
      <c r="H25" s="144"/>
      <c r="I25" s="144"/>
      <c r="J25" s="144"/>
      <c r="K25" s="144"/>
      <c r="L25" s="145"/>
      <c r="M25" s="144"/>
      <c r="N25" s="144"/>
      <c r="O25" s="144"/>
      <c r="P25" s="144"/>
      <c r="Q25" s="144"/>
      <c r="R25" s="144"/>
      <c r="S25" s="144"/>
      <c r="T25" s="144"/>
    </row>
    <row r="26" spans="1:20" ht="15" x14ac:dyDescent="0.25">
      <c r="A26" s="144" t="s">
        <v>213</v>
      </c>
      <c r="B26" s="159">
        <v>1.71</v>
      </c>
      <c r="C26" s="144"/>
      <c r="D26" s="149"/>
      <c r="E26" s="149"/>
      <c r="F26" s="149"/>
      <c r="G26" s="149"/>
      <c r="H26" s="144"/>
      <c r="I26" s="144"/>
      <c r="J26" s="144"/>
      <c r="K26" s="144"/>
      <c r="L26" s="145"/>
      <c r="M26" s="144"/>
      <c r="N26" s="144"/>
      <c r="O26" s="144"/>
      <c r="P26" s="144"/>
      <c r="Q26" s="144"/>
      <c r="R26" s="144"/>
      <c r="S26" s="144"/>
      <c r="T26" s="144"/>
    </row>
    <row r="27" spans="1:20" ht="15" x14ac:dyDescent="0.25">
      <c r="A27" s="144" t="s">
        <v>214</v>
      </c>
      <c r="B27" s="159">
        <f>2.86+0.36</f>
        <v>3.2199999999999998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5"/>
      <c r="M27" s="144"/>
      <c r="N27" s="144"/>
      <c r="O27" s="144"/>
      <c r="P27" s="144"/>
      <c r="Q27" s="144"/>
      <c r="R27" s="144"/>
      <c r="S27" s="144"/>
      <c r="T27" s="144"/>
    </row>
    <row r="28" spans="1:20" ht="15" x14ac:dyDescent="0.25">
      <c r="A28" s="144"/>
      <c r="B28" s="159"/>
      <c r="C28" s="144"/>
      <c r="D28" s="144"/>
      <c r="E28" s="144"/>
      <c r="F28" s="144"/>
      <c r="G28" s="144"/>
      <c r="H28" s="144"/>
      <c r="I28" s="144"/>
      <c r="J28" s="144"/>
      <c r="K28" s="144"/>
      <c r="L28" s="145"/>
      <c r="M28" s="144"/>
      <c r="N28" s="144"/>
      <c r="O28" s="144"/>
      <c r="P28" s="144"/>
      <c r="Q28" s="144"/>
      <c r="R28" s="144"/>
      <c r="S28" s="144"/>
      <c r="T28" s="144"/>
    </row>
    <row r="29" spans="1:20" ht="15" x14ac:dyDescent="0.25">
      <c r="A29" s="144"/>
      <c r="B29" s="159"/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44"/>
      <c r="N29" s="144"/>
      <c r="O29" s="144"/>
      <c r="P29" s="144"/>
      <c r="Q29" s="144"/>
      <c r="R29" s="144"/>
      <c r="S29" s="144"/>
      <c r="T29" s="144"/>
    </row>
    <row r="30" spans="1:20" ht="15" x14ac:dyDescent="0.25">
      <c r="A30" s="144" t="s">
        <v>222</v>
      </c>
      <c r="B30" s="159"/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4"/>
      <c r="N30" s="144"/>
      <c r="O30" s="144"/>
      <c r="P30" s="144"/>
      <c r="Q30" s="144"/>
      <c r="R30" s="144"/>
      <c r="S30" s="144"/>
      <c r="T30" s="144"/>
    </row>
    <row r="31" spans="1:20" ht="15" x14ac:dyDescent="0.25">
      <c r="A31" s="144"/>
      <c r="B31" s="159"/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44"/>
      <c r="N31" s="144"/>
      <c r="O31" s="144"/>
      <c r="P31" s="144"/>
      <c r="Q31" s="144"/>
      <c r="R31" s="144"/>
      <c r="S31" s="144"/>
      <c r="T31" s="144"/>
    </row>
    <row r="32" spans="1:20" ht="15" x14ac:dyDescent="0.25">
      <c r="A32" s="144" t="s">
        <v>213</v>
      </c>
      <c r="B32" s="159">
        <v>1.41</v>
      </c>
      <c r="C32" s="144"/>
      <c r="D32" s="149"/>
      <c r="E32" s="149"/>
      <c r="F32" s="149"/>
      <c r="G32" s="149"/>
      <c r="H32" s="144"/>
      <c r="I32" s="144"/>
      <c r="J32" s="144"/>
      <c r="K32" s="144"/>
      <c r="L32" s="145"/>
      <c r="M32" s="144"/>
      <c r="N32" s="144"/>
      <c r="O32" s="144"/>
      <c r="P32" s="144"/>
      <c r="Q32" s="144"/>
      <c r="R32" s="144"/>
      <c r="S32" s="144"/>
      <c r="T32" s="144"/>
    </row>
    <row r="33" spans="1:20" ht="15" x14ac:dyDescent="0.25">
      <c r="A33" s="144" t="s">
        <v>214</v>
      </c>
      <c r="B33" s="159">
        <f>2.46+0.36</f>
        <v>2.82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5"/>
      <c r="M33" s="144"/>
      <c r="N33" s="144"/>
      <c r="O33" s="144"/>
      <c r="P33" s="144"/>
      <c r="Q33" s="144"/>
      <c r="R33" s="144"/>
      <c r="S33" s="144"/>
      <c r="T33" s="144"/>
    </row>
    <row r="34" spans="1:20" ht="15" x14ac:dyDescent="0.25">
      <c r="A34" s="144"/>
      <c r="B34" s="145"/>
      <c r="C34" s="144"/>
      <c r="D34" s="144"/>
      <c r="E34" s="144"/>
      <c r="F34" s="144"/>
      <c r="G34" s="144"/>
      <c r="H34" s="144"/>
      <c r="I34" s="144"/>
      <c r="J34" s="144"/>
      <c r="K34" s="144"/>
      <c r="L34" s="145"/>
      <c r="M34" s="144"/>
      <c r="N34" s="144"/>
      <c r="O34" s="144"/>
      <c r="P34" s="144"/>
      <c r="Q34" s="144"/>
      <c r="R34" s="144"/>
      <c r="S34" s="144"/>
      <c r="T34" s="144"/>
    </row>
    <row r="35" spans="1:20" ht="15" x14ac:dyDescent="0.2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5"/>
      <c r="M35" s="144"/>
      <c r="N35" s="144"/>
      <c r="O35" s="144"/>
      <c r="P35" s="144"/>
      <c r="Q35" s="144"/>
      <c r="R35" s="144"/>
      <c r="S35" s="144"/>
      <c r="T35" s="144"/>
    </row>
    <row r="36" spans="1:20" ht="15" x14ac:dyDescent="0.25">
      <c r="A36" s="144" t="s">
        <v>223</v>
      </c>
      <c r="B36" s="145"/>
      <c r="C36" s="144"/>
      <c r="D36" s="144"/>
      <c r="E36" s="144"/>
      <c r="F36" s="144"/>
      <c r="G36" s="144"/>
      <c r="H36" s="144"/>
      <c r="I36" s="144"/>
      <c r="J36" s="144"/>
      <c r="K36" s="144"/>
      <c r="L36" s="145"/>
      <c r="M36" s="144"/>
      <c r="N36" s="144"/>
      <c r="O36" s="144"/>
      <c r="P36" s="144"/>
      <c r="Q36" s="144"/>
      <c r="R36" s="144"/>
      <c r="S36" s="144"/>
      <c r="T36" s="144"/>
    </row>
    <row r="37" spans="1:20" ht="15" x14ac:dyDescent="0.25">
      <c r="A37" s="144"/>
      <c r="B37" s="145"/>
      <c r="C37" s="144"/>
      <c r="D37" s="144"/>
      <c r="E37" s="144"/>
      <c r="F37" s="144"/>
      <c r="G37" s="144"/>
      <c r="H37" s="144"/>
      <c r="I37" s="144"/>
      <c r="J37" s="144"/>
      <c r="K37" s="144"/>
      <c r="L37" s="145"/>
      <c r="M37" s="144"/>
      <c r="N37" s="144"/>
      <c r="O37" s="144"/>
      <c r="P37" s="144"/>
      <c r="Q37" s="144"/>
      <c r="R37" s="144"/>
      <c r="S37" s="144"/>
      <c r="T37" s="144"/>
    </row>
    <row r="38" spans="1:20" ht="15" x14ac:dyDescent="0.25">
      <c r="A38" s="144" t="s">
        <v>213</v>
      </c>
      <c r="B38" s="145">
        <v>1.59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5"/>
      <c r="M38" s="144"/>
      <c r="N38" s="144"/>
      <c r="O38" s="144"/>
      <c r="P38" s="144"/>
      <c r="Q38" s="144"/>
      <c r="R38" s="144"/>
      <c r="S38" s="144"/>
      <c r="T38" s="144"/>
    </row>
    <row r="39" spans="1:20" ht="15" x14ac:dyDescent="0.25">
      <c r="A39" s="144" t="s">
        <v>214</v>
      </c>
      <c r="B39" s="145">
        <v>3.18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  <c r="M39" s="144"/>
      <c r="N39" s="144"/>
      <c r="O39" s="144"/>
      <c r="P39" s="144"/>
      <c r="Q39" s="144"/>
      <c r="R39" s="144"/>
      <c r="S39" s="144"/>
      <c r="T39" s="144"/>
    </row>
    <row r="40" spans="1:20" ht="15" x14ac:dyDescent="0.2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5"/>
      <c r="M40" s="144"/>
      <c r="N40" s="144"/>
      <c r="O40" s="144"/>
      <c r="P40" s="144"/>
      <c r="Q40" s="144"/>
      <c r="R40" s="144"/>
      <c r="S40" s="144"/>
      <c r="T40" s="144"/>
    </row>
    <row r="41" spans="1:20" ht="15" x14ac:dyDescent="0.2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5"/>
      <c r="M41" s="144"/>
      <c r="N41" s="144"/>
      <c r="O41" s="144"/>
      <c r="P41" s="144"/>
      <c r="Q41" s="144"/>
      <c r="R41" s="144"/>
      <c r="S41" s="144"/>
      <c r="T41" s="144"/>
    </row>
    <row r="42" spans="1:20" ht="15" x14ac:dyDescent="0.2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5"/>
      <c r="M42" s="144"/>
      <c r="N42" s="144"/>
      <c r="O42" s="144"/>
      <c r="P42" s="144"/>
      <c r="Q42" s="144"/>
      <c r="R42" s="144"/>
      <c r="S42" s="144"/>
      <c r="T42" s="144"/>
    </row>
    <row r="43" spans="1:20" ht="15" x14ac:dyDescent="0.2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5"/>
      <c r="M43" s="144"/>
      <c r="N43" s="144"/>
      <c r="O43" s="144"/>
      <c r="P43" s="144"/>
      <c r="Q43" s="144"/>
      <c r="R43" s="144"/>
      <c r="S43" s="144"/>
      <c r="T43" s="144"/>
    </row>
    <row r="44" spans="1:20" ht="15" x14ac:dyDescent="0.2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5"/>
      <c r="M44" s="144"/>
      <c r="N44" s="144"/>
      <c r="O44" s="144"/>
      <c r="P44" s="144"/>
      <c r="Q44" s="144"/>
      <c r="R44" s="144"/>
      <c r="S44" s="144"/>
      <c r="T44" s="144"/>
    </row>
    <row r="45" spans="1:20" ht="15" x14ac:dyDescent="0.2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5"/>
      <c r="M45" s="144"/>
      <c r="N45" s="144"/>
      <c r="O45" s="144"/>
      <c r="P45" s="144"/>
      <c r="Q45" s="144"/>
      <c r="R45" s="144"/>
      <c r="S45" s="144"/>
      <c r="T45" s="144"/>
    </row>
    <row r="46" spans="1:20" ht="15" x14ac:dyDescent="0.2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5"/>
      <c r="M46" s="144"/>
      <c r="N46" s="144"/>
      <c r="O46" s="144"/>
      <c r="P46" s="144"/>
      <c r="Q46" s="144"/>
      <c r="R46" s="144"/>
      <c r="S46" s="144"/>
      <c r="T46" s="144"/>
    </row>
    <row r="47" spans="1:20" ht="15" x14ac:dyDescent="0.2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5"/>
      <c r="M47" s="144"/>
      <c r="N47" s="144"/>
      <c r="O47" s="144"/>
      <c r="P47" s="144"/>
      <c r="Q47" s="144"/>
      <c r="R47" s="144"/>
      <c r="S47" s="144"/>
      <c r="T47" s="144"/>
    </row>
    <row r="48" spans="1:20" ht="15" x14ac:dyDescent="0.2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5"/>
      <c r="M48" s="144"/>
      <c r="N48" s="144"/>
      <c r="O48" s="144"/>
      <c r="P48" s="144"/>
      <c r="Q48" s="144"/>
      <c r="R48" s="144"/>
      <c r="S48" s="144"/>
      <c r="T48" s="144"/>
    </row>
    <row r="49" spans="1:20" ht="15" x14ac:dyDescent="0.2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5"/>
      <c r="M49" s="144"/>
      <c r="N49" s="144"/>
      <c r="O49" s="144"/>
      <c r="P49" s="144"/>
      <c r="Q49" s="144"/>
      <c r="R49" s="144"/>
      <c r="S49" s="144"/>
      <c r="T49" s="144"/>
    </row>
    <row r="50" spans="1:20" ht="15" x14ac:dyDescent="0.2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5"/>
      <c r="M50" s="144"/>
      <c r="N50" s="144"/>
      <c r="O50" s="144"/>
      <c r="P50" s="144"/>
      <c r="Q50" s="144"/>
      <c r="R50" s="144"/>
      <c r="S50" s="144"/>
      <c r="T50" s="144"/>
    </row>
    <row r="51" spans="1:20" ht="15" x14ac:dyDescent="0.2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5"/>
      <c r="M51" s="144"/>
      <c r="N51" s="144"/>
      <c r="O51" s="144"/>
      <c r="P51" s="144"/>
      <c r="Q51" s="144"/>
      <c r="R51" s="144"/>
      <c r="S51" s="144"/>
      <c r="T51" s="144"/>
    </row>
    <row r="52" spans="1:20" ht="15" x14ac:dyDescent="0.2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5"/>
      <c r="M52" s="144"/>
      <c r="N52" s="144"/>
      <c r="O52" s="144"/>
      <c r="P52" s="144"/>
      <c r="Q52" s="144"/>
      <c r="R52" s="144"/>
      <c r="S52" s="144"/>
      <c r="T52" s="144"/>
    </row>
    <row r="53" spans="1:20" ht="15" x14ac:dyDescent="0.2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5"/>
      <c r="M53" s="144"/>
      <c r="N53" s="144"/>
      <c r="O53" s="144"/>
      <c r="P53" s="144"/>
      <c r="Q53" s="144"/>
      <c r="R53" s="144"/>
      <c r="S53" s="144"/>
      <c r="T53" s="144"/>
    </row>
    <row r="54" spans="1:20" ht="15" x14ac:dyDescent="0.2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5"/>
      <c r="M54" s="144"/>
      <c r="N54" s="144"/>
      <c r="O54" s="144"/>
      <c r="P54" s="144"/>
      <c r="Q54" s="144"/>
      <c r="R54" s="144"/>
      <c r="S54" s="144"/>
      <c r="T54" s="144"/>
    </row>
    <row r="55" spans="1:20" ht="15" x14ac:dyDescent="0.2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5"/>
      <c r="M55" s="144"/>
      <c r="N55" s="144"/>
      <c r="O55" s="144"/>
      <c r="P55" s="144"/>
      <c r="Q55" s="144"/>
      <c r="R55" s="144"/>
      <c r="S55" s="144"/>
      <c r="T55" s="144"/>
    </row>
    <row r="56" spans="1:20" ht="15" x14ac:dyDescent="0.2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5"/>
      <c r="M56" s="144"/>
      <c r="N56" s="144"/>
      <c r="O56" s="144"/>
      <c r="P56" s="144"/>
      <c r="Q56" s="144"/>
      <c r="R56" s="144"/>
      <c r="S56" s="144"/>
      <c r="T56" s="144"/>
    </row>
    <row r="57" spans="1:20" ht="15" x14ac:dyDescent="0.2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5"/>
      <c r="M57" s="144"/>
      <c r="N57" s="144"/>
      <c r="O57" s="144"/>
      <c r="P57" s="144"/>
      <c r="Q57" s="144"/>
      <c r="R57" s="144"/>
      <c r="S57" s="144"/>
      <c r="T57" s="144"/>
    </row>
    <row r="58" spans="1:20" ht="15" x14ac:dyDescent="0.2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5"/>
      <c r="M58" s="144"/>
      <c r="N58" s="144"/>
      <c r="O58" s="144"/>
      <c r="P58" s="144"/>
      <c r="Q58" s="144"/>
      <c r="R58" s="144"/>
      <c r="S58" s="144"/>
      <c r="T58" s="144"/>
    </row>
    <row r="59" spans="1:20" ht="15" x14ac:dyDescent="0.2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5"/>
      <c r="M59" s="144"/>
      <c r="N59" s="144"/>
      <c r="O59" s="144"/>
      <c r="P59" s="144"/>
      <c r="Q59" s="144"/>
      <c r="R59" s="144"/>
      <c r="S59" s="144"/>
      <c r="T59" s="144"/>
    </row>
    <row r="60" spans="1:20" ht="15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5"/>
      <c r="M60" s="144"/>
      <c r="N60" s="144"/>
      <c r="O60" s="144"/>
      <c r="P60" s="144"/>
      <c r="Q60" s="144"/>
      <c r="R60" s="144"/>
      <c r="S60" s="144"/>
      <c r="T60" s="144"/>
    </row>
    <row r="61" spans="1:20" ht="15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5"/>
      <c r="M61" s="144"/>
      <c r="N61" s="144"/>
      <c r="O61" s="144"/>
      <c r="P61" s="144"/>
      <c r="Q61" s="144"/>
      <c r="R61" s="144"/>
      <c r="S61" s="144"/>
      <c r="T61" s="144"/>
    </row>
  </sheetData>
  <mergeCells count="2">
    <mergeCell ref="C3:D3"/>
    <mergeCell ref="F3:G3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103"/>
  <sheetViews>
    <sheetView topLeftCell="A7" zoomScaleNormal="100" workbookViewId="0">
      <selection activeCell="B21" sqref="B21"/>
    </sheetView>
  </sheetViews>
  <sheetFormatPr defaultColWidth="8.85546875" defaultRowHeight="15" x14ac:dyDescent="0.2"/>
  <cols>
    <col min="1" max="1" width="52.42578125" style="31" bestFit="1" customWidth="1"/>
    <col min="2" max="2" width="11.42578125" style="31" customWidth="1"/>
    <col min="3" max="6" width="8.85546875" style="31"/>
    <col min="7" max="7" width="10" style="31" bestFit="1" customWidth="1"/>
    <col min="8" max="16384" width="8.85546875" style="31"/>
  </cols>
  <sheetData>
    <row r="1" spans="1:7" ht="15.75" x14ac:dyDescent="0.25">
      <c r="A1" s="65" t="s">
        <v>131</v>
      </c>
      <c r="B1" s="66"/>
    </row>
    <row r="2" spans="1:7" ht="15.75" x14ac:dyDescent="0.25">
      <c r="A2" s="65" t="s">
        <v>81</v>
      </c>
      <c r="B2" s="62"/>
    </row>
    <row r="3" spans="1:7" ht="15.75" x14ac:dyDescent="0.25">
      <c r="A3" s="65"/>
      <c r="B3" s="66"/>
    </row>
    <row r="4" spans="1:7" x14ac:dyDescent="0.2">
      <c r="A4" s="35"/>
      <c r="B4" s="36"/>
    </row>
    <row r="5" spans="1:7" ht="15.75" x14ac:dyDescent="0.25">
      <c r="A5" s="37" t="s">
        <v>82</v>
      </c>
      <c r="B5" s="119"/>
    </row>
    <row r="6" spans="1:7" x14ac:dyDescent="0.2">
      <c r="A6" s="39"/>
      <c r="B6" s="40"/>
      <c r="C6" s="214"/>
      <c r="D6" s="214"/>
      <c r="E6" s="214"/>
      <c r="F6" s="214"/>
    </row>
    <row r="8" spans="1:7" x14ac:dyDescent="0.2">
      <c r="A8" s="39"/>
      <c r="B8" s="40"/>
    </row>
    <row r="9" spans="1:7" x14ac:dyDescent="0.2">
      <c r="A9" s="39"/>
      <c r="B9" s="40"/>
    </row>
    <row r="10" spans="1:7" x14ac:dyDescent="0.2">
      <c r="A10" s="39"/>
      <c r="B10" s="64">
        <f>SUM(B6:B6)</f>
        <v>0</v>
      </c>
    </row>
    <row r="11" spans="1:7" x14ac:dyDescent="0.2">
      <c r="A11" s="39"/>
      <c r="B11" s="40"/>
    </row>
    <row r="12" spans="1:7" ht="15.75" x14ac:dyDescent="0.25">
      <c r="A12" s="42" t="s">
        <v>83</v>
      </c>
      <c r="B12" s="40"/>
    </row>
    <row r="13" spans="1:7" x14ac:dyDescent="0.2">
      <c r="A13" s="39" t="s">
        <v>323</v>
      </c>
      <c r="B13" s="40">
        <f>50*15*38</f>
        <v>28500</v>
      </c>
      <c r="C13" s="214"/>
      <c r="D13" s="214" t="s">
        <v>358</v>
      </c>
      <c r="E13" s="214"/>
      <c r="F13" s="214"/>
      <c r="G13" s="31" t="s">
        <v>364</v>
      </c>
    </row>
    <row r="14" spans="1:7" x14ac:dyDescent="0.2">
      <c r="A14" s="39" t="s">
        <v>327</v>
      </c>
      <c r="B14" s="40">
        <f>40*6*38</f>
        <v>9120</v>
      </c>
      <c r="C14" s="214"/>
      <c r="D14" s="214" t="s">
        <v>331</v>
      </c>
      <c r="E14" s="214"/>
      <c r="F14" s="214"/>
      <c r="G14" s="31" t="s">
        <v>365</v>
      </c>
    </row>
    <row r="15" spans="1:7" x14ac:dyDescent="0.2">
      <c r="A15" s="39" t="s">
        <v>293</v>
      </c>
      <c r="B15" s="40">
        <f>50*18*38</f>
        <v>34200</v>
      </c>
      <c r="C15" s="214"/>
      <c r="D15" s="214" t="s">
        <v>324</v>
      </c>
      <c r="E15" s="214"/>
      <c r="F15" s="214"/>
      <c r="G15" s="31" t="s">
        <v>366</v>
      </c>
    </row>
    <row r="16" spans="1:7" x14ac:dyDescent="0.2">
      <c r="A16" s="39"/>
      <c r="B16" s="40"/>
      <c r="C16" s="214"/>
      <c r="D16" s="214"/>
      <c r="E16" s="214"/>
      <c r="F16" s="214"/>
    </row>
    <row r="17" spans="1:7" x14ac:dyDescent="0.2">
      <c r="A17" s="39" t="s">
        <v>325</v>
      </c>
      <c r="B17" s="40">
        <f>50*5*38</f>
        <v>9500</v>
      </c>
      <c r="C17" s="214"/>
      <c r="D17" s="214" t="s">
        <v>326</v>
      </c>
      <c r="E17" s="214"/>
      <c r="F17" s="214"/>
      <c r="G17" s="31" t="s">
        <v>363</v>
      </c>
    </row>
    <row r="18" spans="1:7" x14ac:dyDescent="0.2">
      <c r="A18" s="39"/>
      <c r="B18" s="40"/>
      <c r="C18" s="214"/>
      <c r="D18" s="214"/>
      <c r="E18" s="214"/>
      <c r="F18" s="214"/>
    </row>
    <row r="19" spans="1:7" x14ac:dyDescent="0.2">
      <c r="A19" s="39" t="s">
        <v>334</v>
      </c>
      <c r="B19" s="40">
        <v>375</v>
      </c>
      <c r="C19" s="214"/>
      <c r="D19" s="214"/>
      <c r="E19" s="214"/>
      <c r="F19" s="214"/>
      <c r="G19" s="31" t="s">
        <v>366</v>
      </c>
    </row>
    <row r="20" spans="1:7" x14ac:dyDescent="0.2">
      <c r="A20" s="39"/>
      <c r="B20" s="40"/>
    </row>
    <row r="21" spans="1:7" x14ac:dyDescent="0.2">
      <c r="A21" s="39" t="s">
        <v>329</v>
      </c>
      <c r="B21" s="40">
        <f>'Assumption Data'!B36*0.1</f>
        <v>2125</v>
      </c>
      <c r="G21" s="31" t="s">
        <v>363</v>
      </c>
    </row>
    <row r="22" spans="1:7" x14ac:dyDescent="0.2">
      <c r="A22" s="39"/>
      <c r="B22" s="40"/>
    </row>
    <row r="23" spans="1:7" x14ac:dyDescent="0.2">
      <c r="A23" s="39"/>
      <c r="B23" s="64">
        <f>SUM(B13:B22)</f>
        <v>83820</v>
      </c>
    </row>
    <row r="24" spans="1:7" x14ac:dyDescent="0.2">
      <c r="A24" s="39"/>
      <c r="B24" s="40"/>
    </row>
    <row r="25" spans="1:7" ht="15.75" x14ac:dyDescent="0.25">
      <c r="A25" s="42" t="s">
        <v>84</v>
      </c>
      <c r="B25" s="40"/>
    </row>
    <row r="26" spans="1:7" x14ac:dyDescent="0.2">
      <c r="A26" s="39"/>
      <c r="B26" s="40"/>
    </row>
    <row r="27" spans="1:7" x14ac:dyDescent="0.2">
      <c r="A27" s="39"/>
      <c r="B27" s="40"/>
    </row>
    <row r="28" spans="1:7" x14ac:dyDescent="0.2">
      <c r="A28" s="39"/>
      <c r="B28" s="40"/>
    </row>
    <row r="29" spans="1:7" x14ac:dyDescent="0.2">
      <c r="A29" s="39"/>
      <c r="B29" s="40"/>
    </row>
    <row r="30" spans="1:7" x14ac:dyDescent="0.2">
      <c r="A30" s="35"/>
      <c r="B30" s="64">
        <f>SUM(B26:B29)</f>
        <v>0</v>
      </c>
    </row>
    <row r="31" spans="1:7" x14ac:dyDescent="0.2">
      <c r="A31" s="35"/>
      <c r="B31" s="36"/>
    </row>
    <row r="32" spans="1:7" ht="15.75" x14ac:dyDescent="0.25">
      <c r="A32" s="37" t="s">
        <v>85</v>
      </c>
      <c r="B32" s="36"/>
    </row>
    <row r="33" spans="1:7" x14ac:dyDescent="0.2">
      <c r="A33" s="39"/>
      <c r="B33" s="40"/>
      <c r="C33" s="214"/>
      <c r="D33" s="214"/>
      <c r="E33" s="214"/>
      <c r="F33" s="214"/>
    </row>
    <row r="34" spans="1:7" x14ac:dyDescent="0.2">
      <c r="A34" s="39"/>
      <c r="B34" s="40"/>
      <c r="C34" s="214"/>
      <c r="D34" s="214"/>
      <c r="E34" s="214"/>
      <c r="F34" s="214"/>
    </row>
    <row r="35" spans="1:7" x14ac:dyDescent="0.2">
      <c r="A35" s="39" t="s">
        <v>337</v>
      </c>
      <c r="B35" s="40">
        <f>4800+2000</f>
        <v>6800</v>
      </c>
      <c r="D35" s="214"/>
      <c r="E35" s="214"/>
      <c r="G35" s="31" t="s">
        <v>367</v>
      </c>
    </row>
    <row r="36" spans="1:7" x14ac:dyDescent="0.2">
      <c r="A36" s="39" t="s">
        <v>338</v>
      </c>
      <c r="B36" s="40">
        <f>1000+1000</f>
        <v>2000</v>
      </c>
      <c r="D36" s="214"/>
      <c r="E36" s="214"/>
      <c r="G36" s="31" t="s">
        <v>367</v>
      </c>
    </row>
    <row r="37" spans="1:7" x14ac:dyDescent="0.2">
      <c r="A37" s="39" t="s">
        <v>339</v>
      </c>
      <c r="B37" s="40">
        <v>2000</v>
      </c>
      <c r="D37" s="214"/>
      <c r="E37" s="214"/>
      <c r="G37" s="31" t="s">
        <v>367</v>
      </c>
    </row>
    <row r="38" spans="1:7" x14ac:dyDescent="0.2">
      <c r="A38" s="39" t="s">
        <v>340</v>
      </c>
      <c r="B38" s="40">
        <v>2400</v>
      </c>
      <c r="D38" s="214"/>
      <c r="E38" s="214"/>
      <c r="G38" s="31" t="s">
        <v>367</v>
      </c>
    </row>
    <row r="39" spans="1:7" x14ac:dyDescent="0.2">
      <c r="A39" s="39"/>
      <c r="B39" s="40"/>
      <c r="D39" s="214"/>
      <c r="E39" s="214"/>
    </row>
    <row r="40" spans="1:7" x14ac:dyDescent="0.2">
      <c r="A40" s="39" t="s">
        <v>401</v>
      </c>
      <c r="B40" s="40">
        <v>6000</v>
      </c>
      <c r="D40" s="214"/>
      <c r="E40" s="214"/>
      <c r="G40" s="31" t="s">
        <v>367</v>
      </c>
    </row>
    <row r="41" spans="1:7" x14ac:dyDescent="0.2">
      <c r="A41" s="39"/>
      <c r="B41" s="40"/>
    </row>
    <row r="42" spans="1:7" x14ac:dyDescent="0.2">
      <c r="A42" s="39" t="s">
        <v>357</v>
      </c>
      <c r="B42" s="40">
        <v>5000</v>
      </c>
      <c r="G42" s="31" t="s">
        <v>367</v>
      </c>
    </row>
    <row r="43" spans="1:7" s="214" customFormat="1" x14ac:dyDescent="0.2">
      <c r="A43" s="39"/>
      <c r="B43" s="40"/>
    </row>
    <row r="44" spans="1:7" s="214" customFormat="1" x14ac:dyDescent="0.2">
      <c r="A44" s="39" t="s">
        <v>318</v>
      </c>
      <c r="B44" s="40">
        <v>12500</v>
      </c>
      <c r="G44" s="214" t="s">
        <v>368</v>
      </c>
    </row>
    <row r="45" spans="1:7" x14ac:dyDescent="0.2">
      <c r="A45" s="39"/>
      <c r="B45" s="40"/>
    </row>
    <row r="46" spans="1:7" x14ac:dyDescent="0.2">
      <c r="A46" s="67"/>
      <c r="B46" s="64">
        <f>SUM(B33:B45)</f>
        <v>36700</v>
      </c>
    </row>
    <row r="47" spans="1:7" x14ac:dyDescent="0.2">
      <c r="A47" s="35"/>
      <c r="B47" s="36"/>
    </row>
    <row r="48" spans="1:7" ht="15.75" x14ac:dyDescent="0.25">
      <c r="A48" s="43" t="s">
        <v>86</v>
      </c>
      <c r="B48" s="44"/>
    </row>
    <row r="49" spans="1:7" x14ac:dyDescent="0.2">
      <c r="A49" s="39"/>
      <c r="B49" s="45"/>
    </row>
    <row r="50" spans="1:7" x14ac:dyDescent="0.2">
      <c r="A50" s="39" t="s">
        <v>279</v>
      </c>
      <c r="B50" s="45">
        <v>5000</v>
      </c>
      <c r="G50" s="31" t="s">
        <v>369</v>
      </c>
    </row>
    <row r="51" spans="1:7" x14ac:dyDescent="0.2">
      <c r="A51" s="39" t="s">
        <v>404</v>
      </c>
      <c r="B51" s="45">
        <v>10000</v>
      </c>
      <c r="G51" s="31" t="s">
        <v>369</v>
      </c>
    </row>
    <row r="52" spans="1:7" x14ac:dyDescent="0.2">
      <c r="A52" s="39" t="s">
        <v>296</v>
      </c>
      <c r="B52" s="45">
        <f>500*2</f>
        <v>1000</v>
      </c>
      <c r="G52" s="31" t="s">
        <v>369</v>
      </c>
    </row>
    <row r="53" spans="1:7" x14ac:dyDescent="0.2">
      <c r="A53" s="39" t="s">
        <v>295</v>
      </c>
      <c r="B53" s="40">
        <v>1800</v>
      </c>
      <c r="G53" s="31" t="s">
        <v>369</v>
      </c>
    </row>
    <row r="54" spans="1:7" x14ac:dyDescent="0.2">
      <c r="A54" s="39" t="s">
        <v>294</v>
      </c>
      <c r="B54" s="45">
        <v>2500</v>
      </c>
      <c r="G54" s="31" t="s">
        <v>369</v>
      </c>
    </row>
    <row r="55" spans="1:7" x14ac:dyDescent="0.2">
      <c r="A55" s="39" t="s">
        <v>297</v>
      </c>
      <c r="B55" s="45">
        <v>150</v>
      </c>
      <c r="G55" s="31" t="s">
        <v>369</v>
      </c>
    </row>
    <row r="56" spans="1:7" x14ac:dyDescent="0.2">
      <c r="A56" s="39" t="s">
        <v>298</v>
      </c>
      <c r="B56" s="45">
        <v>1800</v>
      </c>
      <c r="G56" s="31" t="s">
        <v>369</v>
      </c>
    </row>
    <row r="57" spans="1:7" x14ac:dyDescent="0.2">
      <c r="A57" s="39"/>
      <c r="B57" s="45"/>
    </row>
    <row r="58" spans="1:7" x14ac:dyDescent="0.2">
      <c r="A58" s="39"/>
      <c r="B58" s="64">
        <f>SUM(B49:B57)</f>
        <v>22250</v>
      </c>
    </row>
    <row r="59" spans="1:7" x14ac:dyDescent="0.2">
      <c r="A59" s="39"/>
      <c r="B59" s="45"/>
    </row>
    <row r="60" spans="1:7" x14ac:dyDescent="0.2">
      <c r="A60" s="39"/>
      <c r="B60" s="45"/>
    </row>
    <row r="61" spans="1:7" ht="15.75" x14ac:dyDescent="0.25">
      <c r="A61" s="42" t="s">
        <v>87</v>
      </c>
      <c r="B61" s="45"/>
    </row>
    <row r="62" spans="1:7" x14ac:dyDescent="0.2">
      <c r="A62" s="39" t="s">
        <v>8</v>
      </c>
      <c r="B62" s="45">
        <v>30000</v>
      </c>
      <c r="G62" s="31" t="s">
        <v>370</v>
      </c>
    </row>
    <row r="63" spans="1:7" x14ac:dyDescent="0.2">
      <c r="A63" s="39"/>
      <c r="B63" s="45"/>
    </row>
    <row r="64" spans="1:7" x14ac:dyDescent="0.2">
      <c r="A64" s="39" t="s">
        <v>280</v>
      </c>
      <c r="B64" s="45">
        <f>(11500+1500+3500)*1.1</f>
        <v>18150</v>
      </c>
      <c r="D64" s="214"/>
      <c r="E64" s="214"/>
      <c r="F64" s="214"/>
      <c r="G64" s="31" t="s">
        <v>371</v>
      </c>
    </row>
    <row r="65" spans="1:7" x14ac:dyDescent="0.2">
      <c r="A65" s="39"/>
      <c r="B65" s="45"/>
    </row>
    <row r="66" spans="1:7" x14ac:dyDescent="0.2">
      <c r="A66" s="35"/>
      <c r="B66" s="64">
        <f>SUM(B62:B65)</f>
        <v>48150</v>
      </c>
    </row>
    <row r="67" spans="1:7" x14ac:dyDescent="0.2">
      <c r="A67" s="46"/>
      <c r="B67" s="47"/>
    </row>
    <row r="68" spans="1:7" ht="15.75" x14ac:dyDescent="0.25">
      <c r="A68" s="43" t="s">
        <v>88</v>
      </c>
      <c r="B68" s="47"/>
    </row>
    <row r="69" spans="1:7" ht="15.75" x14ac:dyDescent="0.25">
      <c r="A69" s="48"/>
      <c r="B69" s="45"/>
    </row>
    <row r="70" spans="1:7" x14ac:dyDescent="0.2">
      <c r="A70" s="49" t="s">
        <v>208</v>
      </c>
      <c r="B70" s="45">
        <v>10000</v>
      </c>
      <c r="G70" s="31" t="s">
        <v>372</v>
      </c>
    </row>
    <row r="71" spans="1:7" s="214" customFormat="1" x14ac:dyDescent="0.2">
      <c r="A71" s="49"/>
      <c r="B71" s="45"/>
    </row>
    <row r="72" spans="1:7" s="214" customFormat="1" x14ac:dyDescent="0.2">
      <c r="A72" s="49" t="s">
        <v>299</v>
      </c>
      <c r="B72" s="45">
        <f>215*12</f>
        <v>2580</v>
      </c>
      <c r="G72" s="214" t="s">
        <v>373</v>
      </c>
    </row>
    <row r="73" spans="1:7" s="214" customFormat="1" x14ac:dyDescent="0.2">
      <c r="A73" s="49"/>
      <c r="B73" s="45"/>
    </row>
    <row r="74" spans="1:7" s="214" customFormat="1" x14ac:dyDescent="0.2">
      <c r="A74" s="49" t="s">
        <v>308</v>
      </c>
      <c r="B74" s="45">
        <v>3000</v>
      </c>
      <c r="G74" s="214" t="s">
        <v>373</v>
      </c>
    </row>
    <row r="75" spans="1:7" x14ac:dyDescent="0.2">
      <c r="A75" s="49"/>
      <c r="B75" s="45"/>
    </row>
    <row r="76" spans="1:7" x14ac:dyDescent="0.2">
      <c r="A76" s="49" t="s">
        <v>281</v>
      </c>
      <c r="B76" s="45">
        <v>1200</v>
      </c>
      <c r="G76" s="31" t="s">
        <v>374</v>
      </c>
    </row>
    <row r="77" spans="1:7" x14ac:dyDescent="0.2">
      <c r="A77" s="49"/>
      <c r="B77" s="45"/>
    </row>
    <row r="78" spans="1:7" x14ac:dyDescent="0.2">
      <c r="A78" s="49" t="s">
        <v>403</v>
      </c>
      <c r="B78" s="45">
        <v>10500</v>
      </c>
    </row>
    <row r="79" spans="1:7" x14ac:dyDescent="0.2">
      <c r="A79" s="49"/>
      <c r="B79" s="45"/>
    </row>
    <row r="80" spans="1:7" x14ac:dyDescent="0.2">
      <c r="A80" s="46"/>
      <c r="B80" s="64">
        <f>SUM(B69:B79)</f>
        <v>27280</v>
      </c>
    </row>
    <row r="81" spans="1:7" x14ac:dyDescent="0.2">
      <c r="A81" s="46"/>
      <c r="B81" s="47"/>
    </row>
    <row r="82" spans="1:7" ht="15.75" x14ac:dyDescent="0.25">
      <c r="A82" s="43" t="s">
        <v>89</v>
      </c>
      <c r="B82" s="47"/>
    </row>
    <row r="83" spans="1:7" x14ac:dyDescent="0.2">
      <c r="A83" s="49" t="s">
        <v>204</v>
      </c>
      <c r="B83" s="45">
        <f>(600*24)+1000</f>
        <v>15400</v>
      </c>
      <c r="D83" s="214"/>
      <c r="E83" s="214"/>
      <c r="F83" s="214"/>
      <c r="G83" s="214" t="s">
        <v>375</v>
      </c>
    </row>
    <row r="84" spans="1:7" x14ac:dyDescent="0.2">
      <c r="A84" s="49" t="s">
        <v>316</v>
      </c>
      <c r="B84" s="45">
        <f>162*12</f>
        <v>1944</v>
      </c>
      <c r="D84" s="214"/>
      <c r="E84" s="214"/>
      <c r="F84" s="214"/>
      <c r="G84" s="214" t="s">
        <v>375</v>
      </c>
    </row>
    <row r="85" spans="1:7" x14ac:dyDescent="0.2">
      <c r="A85" s="49" t="s">
        <v>317</v>
      </c>
      <c r="B85" s="45">
        <f>16*12</f>
        <v>192</v>
      </c>
      <c r="D85" s="214"/>
      <c r="E85" s="214"/>
      <c r="F85" s="214"/>
      <c r="G85" s="214" t="s">
        <v>375</v>
      </c>
    </row>
    <row r="86" spans="1:7" x14ac:dyDescent="0.2">
      <c r="A86" s="49" t="s">
        <v>359</v>
      </c>
      <c r="B86" s="45">
        <v>30000</v>
      </c>
      <c r="G86" s="214" t="s">
        <v>375</v>
      </c>
    </row>
    <row r="87" spans="1:7" x14ac:dyDescent="0.2">
      <c r="A87" s="49"/>
      <c r="B87" s="45"/>
    </row>
    <row r="88" spans="1:7" x14ac:dyDescent="0.2">
      <c r="A88" s="49"/>
      <c r="B88" s="45"/>
    </row>
    <row r="89" spans="1:7" x14ac:dyDescent="0.2">
      <c r="A89" s="46"/>
      <c r="B89" s="64">
        <f>SUM(B83:B88)</f>
        <v>47536</v>
      </c>
    </row>
    <row r="90" spans="1:7" x14ac:dyDescent="0.2">
      <c r="A90" s="46"/>
      <c r="B90" s="47"/>
    </row>
    <row r="91" spans="1:7" x14ac:dyDescent="0.2">
      <c r="A91" s="68"/>
      <c r="B91" s="68"/>
    </row>
    <row r="92" spans="1:7" x14ac:dyDescent="0.2">
      <c r="A92" s="46"/>
      <c r="B92" s="47"/>
    </row>
    <row r="93" spans="1:7" ht="15.75" x14ac:dyDescent="0.25">
      <c r="A93" s="43" t="s">
        <v>112</v>
      </c>
      <c r="B93" s="47"/>
    </row>
    <row r="95" spans="1:7" x14ac:dyDescent="0.2">
      <c r="A95" s="39"/>
      <c r="B95" s="45"/>
    </row>
    <row r="96" spans="1:7" x14ac:dyDescent="0.2">
      <c r="A96" s="49"/>
      <c r="B96" s="45"/>
    </row>
    <row r="97" spans="1:2" x14ac:dyDescent="0.2">
      <c r="A97" s="46"/>
      <c r="B97" s="47"/>
    </row>
    <row r="98" spans="1:2" x14ac:dyDescent="0.2">
      <c r="A98" s="46"/>
      <c r="B98" s="64">
        <f>SUM(B95:B97)</f>
        <v>0</v>
      </c>
    </row>
    <row r="99" spans="1:2" x14ac:dyDescent="0.2">
      <c r="A99" s="46"/>
      <c r="B99" s="47"/>
    </row>
    <row r="100" spans="1:2" x14ac:dyDescent="0.2">
      <c r="A100" s="46"/>
      <c r="B100" s="47"/>
    </row>
    <row r="101" spans="1:2" x14ac:dyDescent="0.2">
      <c r="A101" s="46"/>
      <c r="B101" s="47"/>
    </row>
    <row r="102" spans="1:2" ht="16.5" thickBot="1" x14ac:dyDescent="0.3">
      <c r="A102" s="50" t="s">
        <v>90</v>
      </c>
      <c r="B102" s="52">
        <f>B98+B89+B80+B66+B58+B46+B30+B23+B10</f>
        <v>265736</v>
      </c>
    </row>
    <row r="103" spans="1:2" ht="15.75" thickTop="1" x14ac:dyDescent="0.2"/>
  </sheetData>
  <pageMargins left="0.75" right="0.75" top="1" bottom="1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124"/>
  <sheetViews>
    <sheetView topLeftCell="A65" zoomScaleNormal="100" workbookViewId="0">
      <selection activeCell="B75" sqref="B75"/>
    </sheetView>
  </sheetViews>
  <sheetFormatPr defaultColWidth="8.85546875" defaultRowHeight="12.75" x14ac:dyDescent="0.2"/>
  <cols>
    <col min="1" max="1" width="46.7109375" style="237" bestFit="1" customWidth="1"/>
    <col min="2" max="2" width="12.7109375" style="237" customWidth="1"/>
    <col min="3" max="3" width="8.85546875" style="237"/>
    <col min="4" max="4" width="26.140625" style="237" bestFit="1" customWidth="1"/>
    <col min="5" max="16384" width="8.85546875" style="237"/>
  </cols>
  <sheetData>
    <row r="1" spans="1:2" ht="18" x14ac:dyDescent="0.25">
      <c r="A1" s="235" t="str">
        <f>Staffing!A1</f>
        <v>Tangi Academy</v>
      </c>
      <c r="B1" s="236"/>
    </row>
    <row r="2" spans="1:2" ht="18" x14ac:dyDescent="0.25">
      <c r="A2" s="235" t="s">
        <v>91</v>
      </c>
      <c r="B2" s="238"/>
    </row>
    <row r="3" spans="1:2" ht="18" x14ac:dyDescent="0.25">
      <c r="A3" s="235"/>
      <c r="B3" s="236"/>
    </row>
    <row r="4" spans="1:2" ht="15" x14ac:dyDescent="0.2">
      <c r="A4" s="239"/>
      <c r="B4" s="240"/>
    </row>
    <row r="5" spans="1:2" ht="15.75" x14ac:dyDescent="0.25">
      <c r="A5" s="241" t="s">
        <v>82</v>
      </c>
      <c r="B5" s="242"/>
    </row>
    <row r="6" spans="1:2" ht="15" x14ac:dyDescent="0.2">
      <c r="A6" s="243"/>
      <c r="B6" s="244"/>
    </row>
    <row r="7" spans="1:2" ht="15" x14ac:dyDescent="0.2">
      <c r="A7" s="243"/>
      <c r="B7" s="244"/>
    </row>
    <row r="8" spans="1:2" ht="15" x14ac:dyDescent="0.2">
      <c r="A8" s="243"/>
      <c r="B8" s="244"/>
    </row>
    <row r="9" spans="1:2" ht="15" x14ac:dyDescent="0.2">
      <c r="A9" s="245" t="s">
        <v>92</v>
      </c>
      <c r="B9" s="246">
        <f>SUM(B6:B8)</f>
        <v>0</v>
      </c>
    </row>
    <row r="10" spans="1:2" ht="15" x14ac:dyDescent="0.2">
      <c r="A10" s="243"/>
      <c r="B10" s="244"/>
    </row>
    <row r="11" spans="1:2" ht="15" x14ac:dyDescent="0.2">
      <c r="A11" s="239"/>
      <c r="B11" s="240"/>
    </row>
    <row r="12" spans="1:2" ht="15.75" x14ac:dyDescent="0.25">
      <c r="A12" s="241" t="s">
        <v>83</v>
      </c>
      <c r="B12" s="240"/>
    </row>
    <row r="13" spans="1:2" ht="15" x14ac:dyDescent="0.2">
      <c r="A13" s="243"/>
      <c r="B13" s="244"/>
    </row>
    <row r="14" spans="1:2" ht="15" x14ac:dyDescent="0.2">
      <c r="A14" s="243" t="s">
        <v>92</v>
      </c>
      <c r="B14" s="244"/>
    </row>
    <row r="15" spans="1:2" ht="15" x14ac:dyDescent="0.2">
      <c r="A15" s="243"/>
      <c r="B15" s="244"/>
    </row>
    <row r="16" spans="1:2" ht="15" x14ac:dyDescent="0.2">
      <c r="A16" s="245" t="s">
        <v>92</v>
      </c>
      <c r="B16" s="246">
        <f>SUM(B13:B15)</f>
        <v>0</v>
      </c>
    </row>
    <row r="17" spans="1:2" ht="15" x14ac:dyDescent="0.2">
      <c r="A17" s="239"/>
      <c r="B17" s="240"/>
    </row>
    <row r="18" spans="1:2" ht="15.75" x14ac:dyDescent="0.25">
      <c r="A18" s="241" t="s">
        <v>84</v>
      </c>
      <c r="B18" s="240"/>
    </row>
    <row r="19" spans="1:2" ht="15" x14ac:dyDescent="0.2">
      <c r="A19" s="243"/>
      <c r="B19" s="244"/>
    </row>
    <row r="20" spans="1:2" ht="15" x14ac:dyDescent="0.2">
      <c r="A20" s="243" t="s">
        <v>92</v>
      </c>
      <c r="B20" s="244"/>
    </row>
    <row r="21" spans="1:2" ht="15" x14ac:dyDescent="0.2">
      <c r="A21" s="243"/>
      <c r="B21" s="244"/>
    </row>
    <row r="22" spans="1:2" ht="15" x14ac:dyDescent="0.2">
      <c r="A22" s="245" t="s">
        <v>92</v>
      </c>
      <c r="B22" s="246">
        <f>SUM(B19:B21)</f>
        <v>0</v>
      </c>
    </row>
    <row r="23" spans="1:2" ht="15" x14ac:dyDescent="0.2">
      <c r="A23" s="243"/>
      <c r="B23" s="244"/>
    </row>
    <row r="24" spans="1:2" ht="15" x14ac:dyDescent="0.2">
      <c r="A24" s="243"/>
      <c r="B24" s="244"/>
    </row>
    <row r="25" spans="1:2" ht="15" x14ac:dyDescent="0.2">
      <c r="A25" s="247"/>
      <c r="B25" s="248"/>
    </row>
    <row r="26" spans="1:2" ht="15.75" x14ac:dyDescent="0.25">
      <c r="A26" s="249" t="s">
        <v>88</v>
      </c>
      <c r="B26" s="248"/>
    </row>
    <row r="27" spans="1:2" ht="15" x14ac:dyDescent="0.2">
      <c r="A27" s="243"/>
      <c r="B27" s="244"/>
    </row>
    <row r="28" spans="1:2" ht="15" x14ac:dyDescent="0.2">
      <c r="A28" s="243" t="s">
        <v>92</v>
      </c>
      <c r="B28" s="244"/>
    </row>
    <row r="29" spans="1:2" ht="15" x14ac:dyDescent="0.2">
      <c r="A29" s="243"/>
      <c r="B29" s="244"/>
    </row>
    <row r="30" spans="1:2" ht="15" x14ac:dyDescent="0.2">
      <c r="A30" s="245" t="s">
        <v>92</v>
      </c>
      <c r="B30" s="246">
        <f>SUM(B27:B29)</f>
        <v>0</v>
      </c>
    </row>
    <row r="31" spans="1:2" ht="15.75" x14ac:dyDescent="0.25">
      <c r="A31" s="249"/>
      <c r="B31" s="248"/>
    </row>
    <row r="32" spans="1:2" ht="15" x14ac:dyDescent="0.2">
      <c r="A32" s="250"/>
      <c r="B32" s="251"/>
    </row>
    <row r="33" spans="1:7" ht="15" x14ac:dyDescent="0.2">
      <c r="A33" s="250"/>
      <c r="B33" s="251"/>
    </row>
    <row r="34" spans="1:7" ht="15" x14ac:dyDescent="0.2">
      <c r="A34" s="250"/>
      <c r="B34" s="251"/>
    </row>
    <row r="35" spans="1:7" ht="15.75" x14ac:dyDescent="0.25">
      <c r="A35" s="249"/>
      <c r="B35" s="248"/>
    </row>
    <row r="36" spans="1:7" ht="15.75" x14ac:dyDescent="0.25">
      <c r="A36" s="252" t="s">
        <v>6</v>
      </c>
      <c r="B36" s="253">
        <f>SUM(B31:B35)</f>
        <v>0</v>
      </c>
    </row>
    <row r="37" spans="1:7" ht="15" x14ac:dyDescent="0.2">
      <c r="A37" s="250"/>
      <c r="B37" s="254"/>
    </row>
    <row r="38" spans="1:7" ht="15.75" x14ac:dyDescent="0.25">
      <c r="A38" s="255" t="s">
        <v>195</v>
      </c>
      <c r="B38" s="254"/>
    </row>
    <row r="39" spans="1:7" ht="15" x14ac:dyDescent="0.2">
      <c r="A39" s="243"/>
      <c r="B39" s="244"/>
    </row>
    <row r="40" spans="1:7" ht="15" x14ac:dyDescent="0.2">
      <c r="A40" s="247"/>
      <c r="B40" s="248"/>
    </row>
    <row r="41" spans="1:7" ht="15" x14ac:dyDescent="0.2">
      <c r="A41" s="247"/>
      <c r="B41" s="248"/>
    </row>
    <row r="42" spans="1:7" ht="15" x14ac:dyDescent="0.2">
      <c r="A42" s="247"/>
      <c r="B42" s="248"/>
      <c r="C42" s="256"/>
      <c r="D42" s="257"/>
      <c r="E42" s="256"/>
      <c r="F42" s="256"/>
      <c r="G42" s="256"/>
    </row>
    <row r="43" spans="1:7" ht="15" x14ac:dyDescent="0.2">
      <c r="A43" s="243"/>
      <c r="B43" s="244"/>
    </row>
    <row r="44" spans="1:7" ht="15" x14ac:dyDescent="0.2">
      <c r="A44" s="245" t="s">
        <v>92</v>
      </c>
      <c r="B44" s="246">
        <f>SUM(B39:B43)</f>
        <v>0</v>
      </c>
    </row>
    <row r="45" spans="1:7" ht="15.75" x14ac:dyDescent="0.25">
      <c r="A45" s="249"/>
      <c r="B45" s="248"/>
    </row>
    <row r="46" spans="1:7" ht="15.75" x14ac:dyDescent="0.25">
      <c r="A46" s="249"/>
      <c r="B46" s="248"/>
    </row>
    <row r="47" spans="1:7" ht="15" x14ac:dyDescent="0.2">
      <c r="A47" s="258" t="s">
        <v>285</v>
      </c>
      <c r="B47" s="248">
        <f>1200*12</f>
        <v>14400</v>
      </c>
      <c r="E47" s="237" t="s">
        <v>376</v>
      </c>
    </row>
    <row r="48" spans="1:7" ht="15.75" x14ac:dyDescent="0.25">
      <c r="A48" s="249"/>
      <c r="B48" s="248"/>
    </row>
    <row r="49" spans="1:5" ht="15" x14ac:dyDescent="0.2">
      <c r="A49" s="259" t="s">
        <v>6</v>
      </c>
      <c r="B49" s="246">
        <f>SUM(B45:B48)</f>
        <v>14400</v>
      </c>
    </row>
    <row r="50" spans="1:5" ht="15" x14ac:dyDescent="0.2">
      <c r="A50" s="247"/>
      <c r="B50" s="248"/>
    </row>
    <row r="51" spans="1:5" ht="15.75" x14ac:dyDescent="0.25">
      <c r="A51" s="249" t="s">
        <v>93</v>
      </c>
      <c r="B51" s="248"/>
    </row>
    <row r="52" spans="1:5" ht="15.75" x14ac:dyDescent="0.25">
      <c r="A52" s="249"/>
      <c r="B52" s="248"/>
    </row>
    <row r="53" spans="1:5" ht="15" x14ac:dyDescent="0.2">
      <c r="A53" s="258" t="s">
        <v>6</v>
      </c>
      <c r="B53" s="248"/>
    </row>
    <row r="54" spans="1:5" ht="15.75" x14ac:dyDescent="0.25">
      <c r="A54" s="249"/>
      <c r="B54" s="248"/>
    </row>
    <row r="55" spans="1:5" ht="15.75" x14ac:dyDescent="0.25">
      <c r="A55" s="252" t="s">
        <v>6</v>
      </c>
      <c r="B55" s="253">
        <f>SUM(B52:B54)</f>
        <v>0</v>
      </c>
    </row>
    <row r="56" spans="1:5" ht="15" x14ac:dyDescent="0.2">
      <c r="A56" s="259"/>
      <c r="B56" s="240"/>
    </row>
    <row r="57" spans="1:5" ht="15" x14ac:dyDescent="0.25">
      <c r="A57" s="260" t="s">
        <v>94</v>
      </c>
    </row>
    <row r="58" spans="1:5" ht="15" x14ac:dyDescent="0.2">
      <c r="A58" s="261" t="s">
        <v>288</v>
      </c>
      <c r="B58" s="244">
        <f>20000*12</f>
        <v>240000</v>
      </c>
      <c r="D58" s="256"/>
      <c r="E58" s="237" t="s">
        <v>378</v>
      </c>
    </row>
    <row r="59" spans="1:5" ht="15" x14ac:dyDescent="0.2">
      <c r="A59" s="55" t="s">
        <v>412</v>
      </c>
      <c r="B59" s="240">
        <v>15431</v>
      </c>
    </row>
    <row r="60" spans="1:5" ht="15" x14ac:dyDescent="0.2">
      <c r="A60" s="261"/>
      <c r="B60" s="244"/>
    </row>
    <row r="61" spans="1:5" ht="15" x14ac:dyDescent="0.2">
      <c r="A61" s="261"/>
      <c r="B61" s="244"/>
    </row>
    <row r="62" spans="1:5" ht="15.75" x14ac:dyDescent="0.25">
      <c r="A62" s="252" t="s">
        <v>132</v>
      </c>
      <c r="B62" s="253">
        <f>SUM(B58:B61)</f>
        <v>255431</v>
      </c>
    </row>
    <row r="63" spans="1:5" ht="15" x14ac:dyDescent="0.2">
      <c r="A63" s="261"/>
      <c r="B63" s="240"/>
    </row>
    <row r="64" spans="1:5" ht="15" x14ac:dyDescent="0.2">
      <c r="A64" s="261"/>
      <c r="B64" s="240"/>
    </row>
    <row r="65" spans="1:5" ht="15.75" x14ac:dyDescent="0.25">
      <c r="A65" s="260" t="s">
        <v>98</v>
      </c>
      <c r="B65" s="262">
        <f>(250+100)*12</f>
        <v>4200</v>
      </c>
      <c r="E65" s="237" t="s">
        <v>377</v>
      </c>
    </row>
    <row r="66" spans="1:5" ht="15" x14ac:dyDescent="0.2">
      <c r="A66" s="261"/>
      <c r="B66" s="244"/>
    </row>
    <row r="67" spans="1:5" ht="15" x14ac:dyDescent="0.2">
      <c r="A67" s="261"/>
      <c r="B67" s="244"/>
    </row>
    <row r="68" spans="1:5" ht="15.75" x14ac:dyDescent="0.25">
      <c r="A68" s="260" t="s">
        <v>286</v>
      </c>
      <c r="B68" s="262">
        <f>425*12</f>
        <v>5100</v>
      </c>
      <c r="E68" s="237" t="s">
        <v>379</v>
      </c>
    </row>
    <row r="69" spans="1:5" ht="15" x14ac:dyDescent="0.2">
      <c r="A69" s="261"/>
      <c r="B69" s="244"/>
    </row>
    <row r="70" spans="1:5" ht="15" x14ac:dyDescent="0.2">
      <c r="A70" s="261"/>
      <c r="B70" s="244"/>
    </row>
    <row r="71" spans="1:5" ht="15.75" x14ac:dyDescent="0.25">
      <c r="A71" s="260" t="s">
        <v>287</v>
      </c>
      <c r="B71" s="262">
        <v>64000</v>
      </c>
      <c r="D71" s="237" t="s">
        <v>300</v>
      </c>
      <c r="E71" s="237" t="s">
        <v>380</v>
      </c>
    </row>
    <row r="72" spans="1:5" ht="15" x14ac:dyDescent="0.2">
      <c r="A72" s="261"/>
      <c r="B72" s="244"/>
    </row>
    <row r="73" spans="1:5" ht="15" x14ac:dyDescent="0.2">
      <c r="A73" s="261"/>
      <c r="B73" s="244"/>
    </row>
    <row r="74" spans="1:5" ht="15" x14ac:dyDescent="0.2">
      <c r="A74" s="243" t="s">
        <v>206</v>
      </c>
      <c r="B74" s="244">
        <v>45000</v>
      </c>
      <c r="E74" s="237" t="s">
        <v>377</v>
      </c>
    </row>
    <row r="75" spans="1:5" ht="15" x14ac:dyDescent="0.2">
      <c r="A75" s="243"/>
      <c r="B75" s="244"/>
    </row>
    <row r="76" spans="1:5" ht="15" x14ac:dyDescent="0.2">
      <c r="A76" s="243" t="s">
        <v>301</v>
      </c>
      <c r="B76" s="244">
        <v>78000</v>
      </c>
      <c r="E76" s="237" t="s">
        <v>381</v>
      </c>
    </row>
    <row r="77" spans="1:5" ht="15" x14ac:dyDescent="0.2">
      <c r="A77" s="243" t="s">
        <v>302</v>
      </c>
      <c r="B77" s="244">
        <v>5000</v>
      </c>
      <c r="E77" s="237" t="s">
        <v>382</v>
      </c>
    </row>
    <row r="78" spans="1:5" ht="15" x14ac:dyDescent="0.2">
      <c r="A78" s="243" t="s">
        <v>396</v>
      </c>
      <c r="B78" s="244">
        <v>9000</v>
      </c>
      <c r="E78" s="268" t="s">
        <v>381</v>
      </c>
    </row>
    <row r="79" spans="1:5" ht="15" x14ac:dyDescent="0.2">
      <c r="A79" s="243" t="s">
        <v>395</v>
      </c>
      <c r="B79" s="244">
        <f>14500+3000</f>
        <v>17500</v>
      </c>
      <c r="E79" s="237" t="s">
        <v>382</v>
      </c>
    </row>
    <row r="80" spans="1:5" ht="15" x14ac:dyDescent="0.2">
      <c r="A80" s="243"/>
      <c r="B80" s="244"/>
    </row>
    <row r="81" spans="1:5" ht="15" x14ac:dyDescent="0.2">
      <c r="A81" s="243"/>
      <c r="B81" s="244"/>
    </row>
    <row r="82" spans="1:5" ht="15" x14ac:dyDescent="0.2">
      <c r="A82" s="243" t="s">
        <v>303</v>
      </c>
      <c r="B82" s="244">
        <f>18000+(1000*5)</f>
        <v>23000</v>
      </c>
      <c r="E82" s="237" t="s">
        <v>382</v>
      </c>
    </row>
    <row r="83" spans="1:5" ht="15" x14ac:dyDescent="0.2">
      <c r="A83" s="243" t="s">
        <v>282</v>
      </c>
      <c r="B83" s="244">
        <f>35*12</f>
        <v>420</v>
      </c>
      <c r="E83" s="237" t="s">
        <v>382</v>
      </c>
    </row>
    <row r="84" spans="1:5" ht="15" x14ac:dyDescent="0.2">
      <c r="A84" s="243"/>
      <c r="B84" s="244"/>
    </row>
    <row r="85" spans="1:5" ht="15.75" x14ac:dyDescent="0.25">
      <c r="A85" s="263" t="s">
        <v>92</v>
      </c>
      <c r="B85" s="253">
        <f>SUM(B74:B84)</f>
        <v>177920</v>
      </c>
    </row>
    <row r="86" spans="1:5" ht="15" x14ac:dyDescent="0.2">
      <c r="A86" s="259"/>
      <c r="B86" s="240"/>
    </row>
    <row r="87" spans="1:5" ht="15" x14ac:dyDescent="0.2">
      <c r="A87" s="259"/>
      <c r="B87" s="240"/>
    </row>
    <row r="88" spans="1:5" ht="15" x14ac:dyDescent="0.2">
      <c r="A88" s="264"/>
      <c r="B88" s="240"/>
    </row>
    <row r="89" spans="1:5" ht="15" x14ac:dyDescent="0.2">
      <c r="A89" s="247" t="s">
        <v>335</v>
      </c>
      <c r="B89" s="248">
        <f>150*26</f>
        <v>3900</v>
      </c>
      <c r="E89" s="237" t="s">
        <v>383</v>
      </c>
    </row>
    <row r="90" spans="1:5" ht="15" x14ac:dyDescent="0.2">
      <c r="A90" s="250"/>
      <c r="B90" s="254"/>
    </row>
    <row r="91" spans="1:5" ht="15.75" x14ac:dyDescent="0.25">
      <c r="A91" s="265" t="s">
        <v>95</v>
      </c>
      <c r="B91" s="253">
        <f>SUM(B88:B89)</f>
        <v>3900</v>
      </c>
    </row>
    <row r="92" spans="1:5" ht="15" x14ac:dyDescent="0.2">
      <c r="A92" s="247"/>
      <c r="B92" s="244"/>
    </row>
    <row r="93" spans="1:5" ht="15" x14ac:dyDescent="0.2">
      <c r="A93" s="250"/>
      <c r="B93" s="254"/>
    </row>
    <row r="94" spans="1:5" ht="15.75" x14ac:dyDescent="0.25">
      <c r="A94" s="266" t="s">
        <v>96</v>
      </c>
      <c r="B94" s="254"/>
    </row>
    <row r="95" spans="1:5" ht="15" x14ac:dyDescent="0.2">
      <c r="A95" s="250"/>
      <c r="B95" s="254"/>
    </row>
    <row r="96" spans="1:5" ht="15" x14ac:dyDescent="0.2">
      <c r="A96" s="243" t="s">
        <v>13</v>
      </c>
      <c r="B96" s="246">
        <v>0</v>
      </c>
    </row>
    <row r="97" spans="1:2" ht="15" x14ac:dyDescent="0.2">
      <c r="A97" s="250"/>
      <c r="B97" s="254"/>
    </row>
    <row r="98" spans="1:2" ht="15" x14ac:dyDescent="0.2">
      <c r="A98" s="250"/>
      <c r="B98" s="254"/>
    </row>
    <row r="99" spans="1:2" ht="16.5" thickBot="1" x14ac:dyDescent="0.3">
      <c r="A99" s="255" t="s">
        <v>97</v>
      </c>
      <c r="B99" s="267">
        <f>B96+B91+B85+B71+B68+B65+B62+B55+B49+B44+B36+B30+B22+B16+B9</f>
        <v>524951</v>
      </c>
    </row>
    <row r="100" spans="1:2" ht="15.75" thickTop="1" x14ac:dyDescent="0.2">
      <c r="A100" s="250"/>
      <c r="B100" s="254"/>
    </row>
    <row r="101" spans="1:2" ht="15" x14ac:dyDescent="0.2">
      <c r="A101" s="250"/>
      <c r="B101" s="254"/>
    </row>
    <row r="102" spans="1:2" ht="15" x14ac:dyDescent="0.2">
      <c r="A102" s="250"/>
      <c r="B102" s="254"/>
    </row>
    <row r="103" spans="1:2" ht="15" x14ac:dyDescent="0.2">
      <c r="A103" s="250"/>
      <c r="B103" s="254"/>
    </row>
    <row r="104" spans="1:2" ht="15" x14ac:dyDescent="0.2">
      <c r="A104" s="250"/>
      <c r="B104" s="254"/>
    </row>
    <row r="105" spans="1:2" ht="15" x14ac:dyDescent="0.2">
      <c r="A105" s="250"/>
      <c r="B105" s="254"/>
    </row>
    <row r="106" spans="1:2" ht="15" x14ac:dyDescent="0.2">
      <c r="A106" s="250"/>
      <c r="B106" s="254"/>
    </row>
    <row r="107" spans="1:2" ht="15" x14ac:dyDescent="0.2">
      <c r="A107" s="250"/>
      <c r="B107" s="254"/>
    </row>
    <row r="108" spans="1:2" ht="15" x14ac:dyDescent="0.2">
      <c r="A108" s="250"/>
      <c r="B108" s="254"/>
    </row>
    <row r="109" spans="1:2" ht="15" x14ac:dyDescent="0.2">
      <c r="A109" s="250"/>
      <c r="B109" s="254"/>
    </row>
    <row r="110" spans="1:2" ht="15" x14ac:dyDescent="0.2">
      <c r="A110" s="250"/>
      <c r="B110" s="254"/>
    </row>
    <row r="111" spans="1:2" ht="15" x14ac:dyDescent="0.2">
      <c r="A111" s="250"/>
      <c r="B111" s="254"/>
    </row>
    <row r="112" spans="1:2" ht="15" x14ac:dyDescent="0.2">
      <c r="A112" s="250"/>
      <c r="B112" s="254"/>
    </row>
    <row r="113" spans="1:2" ht="15" x14ac:dyDescent="0.2">
      <c r="A113" s="250"/>
      <c r="B113" s="254"/>
    </row>
    <row r="114" spans="1:2" ht="15" x14ac:dyDescent="0.2">
      <c r="A114" s="250"/>
      <c r="B114" s="254"/>
    </row>
    <row r="115" spans="1:2" ht="15" x14ac:dyDescent="0.2">
      <c r="A115" s="250"/>
      <c r="B115" s="254"/>
    </row>
    <row r="116" spans="1:2" ht="15" x14ac:dyDescent="0.2">
      <c r="A116" s="250"/>
      <c r="B116" s="254"/>
    </row>
    <row r="117" spans="1:2" ht="15" x14ac:dyDescent="0.2">
      <c r="A117" s="250"/>
      <c r="B117" s="254"/>
    </row>
    <row r="118" spans="1:2" ht="15" x14ac:dyDescent="0.2">
      <c r="A118" s="250"/>
      <c r="B118" s="254"/>
    </row>
    <row r="119" spans="1:2" ht="15" x14ac:dyDescent="0.2">
      <c r="A119" s="250"/>
      <c r="B119" s="254"/>
    </row>
    <row r="120" spans="1:2" ht="15" x14ac:dyDescent="0.2">
      <c r="A120" s="250"/>
      <c r="B120" s="254"/>
    </row>
    <row r="121" spans="1:2" ht="15" x14ac:dyDescent="0.2">
      <c r="A121" s="250"/>
      <c r="B121" s="254"/>
    </row>
    <row r="122" spans="1:2" ht="15" x14ac:dyDescent="0.2">
      <c r="A122" s="250"/>
      <c r="B122" s="254"/>
    </row>
    <row r="123" spans="1:2" ht="15" x14ac:dyDescent="0.2">
      <c r="A123" s="250"/>
      <c r="B123" s="254"/>
    </row>
    <row r="124" spans="1:2" ht="15" x14ac:dyDescent="0.2">
      <c r="A124" s="250"/>
      <c r="B124" s="254"/>
    </row>
  </sheetData>
  <pageMargins left="0.75" right="0.75" top="1" bottom="1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147"/>
  <sheetViews>
    <sheetView topLeftCell="A85" zoomScaleNormal="100" workbookViewId="0">
      <selection activeCell="B50" sqref="B50"/>
    </sheetView>
  </sheetViews>
  <sheetFormatPr defaultColWidth="8.85546875" defaultRowHeight="12.75" x14ac:dyDescent="0.2"/>
  <cols>
    <col min="1" max="1" width="47" bestFit="1" customWidth="1"/>
    <col min="2" max="3" width="15.42578125" customWidth="1"/>
  </cols>
  <sheetData>
    <row r="1" spans="1:2" ht="18" x14ac:dyDescent="0.25">
      <c r="A1" s="33" t="str">
        <f>'Property services'!A1</f>
        <v>Tangi Academy</v>
      </c>
      <c r="B1" s="34"/>
    </row>
    <row r="2" spans="1:2" ht="18" x14ac:dyDescent="0.25">
      <c r="A2" s="33" t="s">
        <v>99</v>
      </c>
      <c r="B2" s="62"/>
    </row>
    <row r="3" spans="1:2" ht="18" x14ac:dyDescent="0.25">
      <c r="A3" s="33"/>
      <c r="B3" s="34"/>
    </row>
    <row r="4" spans="1:2" ht="15" x14ac:dyDescent="0.2">
      <c r="A4" s="35"/>
      <c r="B4" s="36"/>
    </row>
    <row r="5" spans="1:2" ht="15.75" x14ac:dyDescent="0.25">
      <c r="A5" s="37" t="s">
        <v>82</v>
      </c>
      <c r="B5" s="38"/>
    </row>
    <row r="6" spans="1:2" ht="15" x14ac:dyDescent="0.2">
      <c r="A6" s="39"/>
      <c r="B6" s="40"/>
    </row>
    <row r="7" spans="1:2" ht="15.75" thickBot="1" x14ac:dyDescent="0.25">
      <c r="A7" s="39" t="s">
        <v>100</v>
      </c>
      <c r="B7" s="57"/>
    </row>
    <row r="8" spans="1:2" ht="15" x14ac:dyDescent="0.2">
      <c r="A8" s="39"/>
      <c r="B8" s="40"/>
    </row>
    <row r="9" spans="1:2" ht="15" x14ac:dyDescent="0.2">
      <c r="A9" s="39"/>
      <c r="B9" s="40"/>
    </row>
    <row r="10" spans="1:2" ht="15.75" x14ac:dyDescent="0.25">
      <c r="A10" s="42" t="s">
        <v>83</v>
      </c>
      <c r="B10" s="40"/>
    </row>
    <row r="11" spans="1:2" ht="15" x14ac:dyDescent="0.2">
      <c r="A11" s="39"/>
      <c r="B11" s="40"/>
    </row>
    <row r="12" spans="1:2" ht="15.75" thickBot="1" x14ac:dyDescent="0.25">
      <c r="A12" s="39" t="s">
        <v>100</v>
      </c>
      <c r="B12" s="57"/>
    </row>
    <row r="13" spans="1:2" ht="15" x14ac:dyDescent="0.2">
      <c r="A13" s="39"/>
      <c r="B13" s="40"/>
    </row>
    <row r="14" spans="1:2" ht="15" x14ac:dyDescent="0.2">
      <c r="A14" s="39"/>
      <c r="B14" s="40"/>
    </row>
    <row r="15" spans="1:2" ht="15.75" x14ac:dyDescent="0.25">
      <c r="A15" s="42" t="s">
        <v>84</v>
      </c>
      <c r="B15" s="40"/>
    </row>
    <row r="16" spans="1:2" ht="15" x14ac:dyDescent="0.2">
      <c r="A16" s="39"/>
      <c r="B16" s="40"/>
    </row>
    <row r="17" spans="1:2" ht="15.75" thickBot="1" x14ac:dyDescent="0.25">
      <c r="A17" s="39" t="s">
        <v>100</v>
      </c>
      <c r="B17" s="57"/>
    </row>
    <row r="18" spans="1:2" ht="15" x14ac:dyDescent="0.2">
      <c r="A18" s="39"/>
      <c r="B18" s="40"/>
    </row>
    <row r="19" spans="1:2" ht="15" x14ac:dyDescent="0.2">
      <c r="A19" s="39"/>
      <c r="B19" s="40"/>
    </row>
    <row r="20" spans="1:2" ht="15.75" x14ac:dyDescent="0.25">
      <c r="A20" s="42" t="s">
        <v>86</v>
      </c>
      <c r="B20" s="40"/>
    </row>
    <row r="21" spans="1:2" ht="15" x14ac:dyDescent="0.2">
      <c r="A21" s="39"/>
      <c r="B21" s="40"/>
    </row>
    <row r="22" spans="1:2" ht="15.75" thickBot="1" x14ac:dyDescent="0.25">
      <c r="A22" s="39" t="s">
        <v>100</v>
      </c>
      <c r="B22" s="57"/>
    </row>
    <row r="23" spans="1:2" ht="15" x14ac:dyDescent="0.2">
      <c r="A23" s="39"/>
      <c r="B23" s="40"/>
    </row>
    <row r="24" spans="1:2" ht="15" x14ac:dyDescent="0.2">
      <c r="A24" s="39"/>
      <c r="B24" s="40"/>
    </row>
    <row r="25" spans="1:2" ht="15.75" x14ac:dyDescent="0.25">
      <c r="A25" s="42" t="s">
        <v>87</v>
      </c>
      <c r="B25" s="40"/>
    </row>
    <row r="26" spans="1:2" ht="15.75" x14ac:dyDescent="0.25">
      <c r="A26" s="42"/>
      <c r="B26" s="40"/>
    </row>
    <row r="27" spans="1:2" ht="15" x14ac:dyDescent="0.2">
      <c r="A27" s="39" t="s">
        <v>342</v>
      </c>
      <c r="B27" s="40">
        <v>14365</v>
      </c>
    </row>
    <row r="28" spans="1:2" ht="15" x14ac:dyDescent="0.2">
      <c r="A28" s="39" t="s">
        <v>343</v>
      </c>
      <c r="B28" s="40">
        <v>886</v>
      </c>
    </row>
    <row r="29" spans="1:2" ht="15" x14ac:dyDescent="0.2">
      <c r="A29" s="39" t="s">
        <v>344</v>
      </c>
      <c r="B29" s="40">
        <v>7234</v>
      </c>
    </row>
    <row r="30" spans="1:2" ht="15" x14ac:dyDescent="0.2">
      <c r="A30" s="39" t="s">
        <v>345</v>
      </c>
      <c r="B30" s="40">
        <v>3035</v>
      </c>
    </row>
    <row r="31" spans="1:2" ht="15" x14ac:dyDescent="0.2">
      <c r="A31" s="39" t="s">
        <v>346</v>
      </c>
      <c r="B31" s="40">
        <v>1318</v>
      </c>
    </row>
    <row r="32" spans="1:2" ht="15" x14ac:dyDescent="0.2">
      <c r="A32" s="39" t="s">
        <v>347</v>
      </c>
      <c r="B32" s="40">
        <v>1016</v>
      </c>
    </row>
    <row r="33" spans="1:6" ht="15" x14ac:dyDescent="0.2">
      <c r="A33" s="39"/>
      <c r="B33" s="40"/>
    </row>
    <row r="34" spans="1:6" ht="15.75" thickBot="1" x14ac:dyDescent="0.25">
      <c r="A34" s="39" t="s">
        <v>15</v>
      </c>
      <c r="B34" s="57">
        <f>SUM(B27:B33)</f>
        <v>27854</v>
      </c>
      <c r="D34" s="141" t="s">
        <v>384</v>
      </c>
      <c r="E34" s="141"/>
      <c r="F34" s="141"/>
    </row>
    <row r="35" spans="1:6" ht="15" x14ac:dyDescent="0.2">
      <c r="A35" s="39"/>
      <c r="B35" s="40"/>
    </row>
    <row r="36" spans="1:6" ht="15" x14ac:dyDescent="0.2">
      <c r="A36" s="39" t="s">
        <v>9</v>
      </c>
      <c r="B36" s="41">
        <v>0</v>
      </c>
    </row>
    <row r="37" spans="1:6" ht="15" x14ac:dyDescent="0.2">
      <c r="A37" s="39"/>
      <c r="B37" s="40"/>
    </row>
    <row r="38" spans="1:6" ht="15" x14ac:dyDescent="0.2">
      <c r="A38" s="46"/>
      <c r="B38" s="47"/>
    </row>
    <row r="39" spans="1:6" ht="15.75" x14ac:dyDescent="0.25">
      <c r="A39" s="43" t="s">
        <v>88</v>
      </c>
      <c r="B39" s="47"/>
    </row>
    <row r="40" spans="1:6" ht="15" x14ac:dyDescent="0.2">
      <c r="A40" s="39"/>
      <c r="B40" s="40"/>
    </row>
    <row r="41" spans="1:6" ht="15.75" thickBot="1" x14ac:dyDescent="0.25">
      <c r="A41" s="39" t="s">
        <v>100</v>
      </c>
      <c r="B41" s="57"/>
    </row>
    <row r="42" spans="1:6" ht="15" x14ac:dyDescent="0.2">
      <c r="A42" s="39"/>
      <c r="B42" s="40"/>
    </row>
    <row r="43" spans="1:6" ht="15" x14ac:dyDescent="0.2">
      <c r="A43" s="39" t="s">
        <v>10</v>
      </c>
      <c r="B43" s="40">
        <v>450</v>
      </c>
    </row>
    <row r="44" spans="1:6" ht="15" x14ac:dyDescent="0.2">
      <c r="A44" s="39"/>
      <c r="B44" s="40"/>
    </row>
    <row r="45" spans="1:6" ht="15" x14ac:dyDescent="0.2">
      <c r="A45" s="39" t="s">
        <v>283</v>
      </c>
      <c r="B45" s="40">
        <f>81*12</f>
        <v>972</v>
      </c>
    </row>
    <row r="46" spans="1:6" ht="15" x14ac:dyDescent="0.2">
      <c r="A46" s="39" t="s">
        <v>284</v>
      </c>
      <c r="B46" s="40">
        <v>7500</v>
      </c>
    </row>
    <row r="47" spans="1:6" ht="15" x14ac:dyDescent="0.2">
      <c r="A47" s="39" t="s">
        <v>312</v>
      </c>
      <c r="B47" s="40">
        <v>0</v>
      </c>
    </row>
    <row r="48" spans="1:6" ht="15" x14ac:dyDescent="0.2">
      <c r="A48" s="39"/>
      <c r="B48" s="40"/>
    </row>
    <row r="49" spans="1:10" ht="15" x14ac:dyDescent="0.2">
      <c r="A49" s="39"/>
      <c r="B49" s="40"/>
    </row>
    <row r="50" spans="1:10" ht="15.75" thickBot="1" x14ac:dyDescent="0.25">
      <c r="A50" s="49" t="s">
        <v>101</v>
      </c>
      <c r="B50" s="69">
        <f>SUM(B43:B48)</f>
        <v>8922</v>
      </c>
      <c r="D50" t="s">
        <v>385</v>
      </c>
    </row>
    <row r="51" spans="1:10" ht="15" x14ac:dyDescent="0.2">
      <c r="A51" s="46"/>
      <c r="B51" s="47"/>
    </row>
    <row r="52" spans="1:10" ht="15" x14ac:dyDescent="0.2">
      <c r="A52" s="46"/>
      <c r="B52" s="47"/>
      <c r="J52" t="s">
        <v>229</v>
      </c>
    </row>
    <row r="53" spans="1:10" ht="15.75" x14ac:dyDescent="0.25">
      <c r="A53" s="43" t="s">
        <v>89</v>
      </c>
      <c r="B53" s="47"/>
    </row>
    <row r="54" spans="1:10" ht="15" x14ac:dyDescent="0.2">
      <c r="A54" s="39"/>
      <c r="B54" s="40"/>
    </row>
    <row r="55" spans="1:10" ht="15.75" thickBot="1" x14ac:dyDescent="0.25">
      <c r="A55" s="39" t="s">
        <v>100</v>
      </c>
      <c r="B55" s="57"/>
    </row>
    <row r="56" spans="1:10" ht="15" x14ac:dyDescent="0.2">
      <c r="A56" s="39"/>
      <c r="B56" s="40"/>
    </row>
    <row r="57" spans="1:10" ht="15.75" thickBot="1" x14ac:dyDescent="0.25">
      <c r="A57" s="49" t="s">
        <v>10</v>
      </c>
      <c r="B57" s="57">
        <v>2000</v>
      </c>
      <c r="D57" t="s">
        <v>386</v>
      </c>
    </row>
    <row r="58" spans="1:10" ht="15" x14ac:dyDescent="0.2">
      <c r="A58" s="46"/>
      <c r="B58" s="47"/>
    </row>
    <row r="59" spans="1:10" ht="15" x14ac:dyDescent="0.2">
      <c r="A59" s="46"/>
      <c r="B59" s="47"/>
    </row>
    <row r="60" spans="1:10" ht="15.75" x14ac:dyDescent="0.25">
      <c r="A60" s="43" t="s">
        <v>93</v>
      </c>
      <c r="B60" s="47"/>
    </row>
    <row r="61" spans="1:10" ht="15.75" x14ac:dyDescent="0.25">
      <c r="A61" s="48"/>
      <c r="B61" s="45"/>
    </row>
    <row r="62" spans="1:10" ht="15" x14ac:dyDescent="0.2">
      <c r="A62" s="39" t="s">
        <v>11</v>
      </c>
      <c r="B62" s="41">
        <f>(980*12)+10000</f>
        <v>21760</v>
      </c>
      <c r="C62" s="141"/>
      <c r="D62" s="141" t="s">
        <v>387</v>
      </c>
      <c r="E62" s="141"/>
      <c r="F62" s="141"/>
    </row>
    <row r="63" spans="1:10" ht="15" x14ac:dyDescent="0.2">
      <c r="A63" s="35"/>
      <c r="B63" s="45"/>
    </row>
    <row r="64" spans="1:10" ht="15" x14ac:dyDescent="0.2">
      <c r="A64" s="39" t="s">
        <v>12</v>
      </c>
      <c r="B64" s="41"/>
    </row>
    <row r="65" spans="1:5" ht="15" x14ac:dyDescent="0.2">
      <c r="A65" s="39"/>
      <c r="B65" s="40"/>
    </row>
    <row r="66" spans="1:5" ht="15" x14ac:dyDescent="0.2">
      <c r="A66" s="39"/>
      <c r="B66" s="40"/>
    </row>
    <row r="67" spans="1:5" ht="15.75" x14ac:dyDescent="0.25">
      <c r="A67" s="43" t="s">
        <v>102</v>
      </c>
      <c r="B67" s="47"/>
    </row>
    <row r="68" spans="1:5" ht="15" x14ac:dyDescent="0.2">
      <c r="A68" s="49"/>
      <c r="B68" s="45"/>
    </row>
    <row r="69" spans="1:5" ht="15" x14ac:dyDescent="0.2">
      <c r="A69" s="49" t="s">
        <v>289</v>
      </c>
      <c r="B69" s="45">
        <f>'Assumption Data'!B63*'Assumption Data'!B64*180</f>
        <v>108000</v>
      </c>
      <c r="D69" s="141" t="s">
        <v>314</v>
      </c>
      <c r="E69" s="141"/>
    </row>
    <row r="70" spans="1:5" ht="15" x14ac:dyDescent="0.2">
      <c r="A70" s="49" t="s">
        <v>315</v>
      </c>
      <c r="B70" s="45">
        <v>2500</v>
      </c>
    </row>
    <row r="71" spans="1:5" ht="15" x14ac:dyDescent="0.2">
      <c r="A71" s="49"/>
      <c r="B71" s="45"/>
    </row>
    <row r="72" spans="1:5" ht="15" x14ac:dyDescent="0.2">
      <c r="A72" s="39"/>
      <c r="B72" s="40"/>
    </row>
    <row r="73" spans="1:5" ht="15.75" thickBot="1" x14ac:dyDescent="0.25">
      <c r="A73" s="39"/>
      <c r="B73" s="69">
        <f>SUM(B69:B72)</f>
        <v>110500</v>
      </c>
    </row>
    <row r="74" spans="1:5" ht="15.75" x14ac:dyDescent="0.25">
      <c r="A74" s="48" t="s">
        <v>0</v>
      </c>
      <c r="B74" s="40"/>
    </row>
    <row r="75" spans="1:5" ht="15" x14ac:dyDescent="0.2">
      <c r="A75" s="39"/>
      <c r="B75" s="40"/>
    </row>
    <row r="76" spans="1:5" ht="15" x14ac:dyDescent="0.2">
      <c r="A76" s="39" t="s">
        <v>103</v>
      </c>
      <c r="B76" s="40">
        <f>'Food Service'!L16</f>
        <v>6000</v>
      </c>
      <c r="D76" s="141"/>
    </row>
    <row r="77" spans="1:5" ht="15" x14ac:dyDescent="0.2">
      <c r="A77" s="39" t="s">
        <v>104</v>
      </c>
      <c r="B77" s="40">
        <f>'Food Service'!L15</f>
        <v>173136.69</v>
      </c>
      <c r="D77" s="141"/>
    </row>
    <row r="78" spans="1:5" ht="15" x14ac:dyDescent="0.2">
      <c r="A78" s="35"/>
      <c r="B78" s="45"/>
    </row>
    <row r="79" spans="1:5" ht="15.75" thickBot="1" x14ac:dyDescent="0.25">
      <c r="A79" s="35"/>
      <c r="B79" s="69">
        <f>SUM(B76:B78)</f>
        <v>179136.69</v>
      </c>
    </row>
    <row r="80" spans="1:5" ht="15" x14ac:dyDescent="0.2">
      <c r="A80" s="46"/>
      <c r="B80" s="47"/>
    </row>
    <row r="81" spans="1:2" ht="15" x14ac:dyDescent="0.2">
      <c r="A81" s="46"/>
      <c r="B81" s="47"/>
    </row>
    <row r="82" spans="1:2" ht="16.5" thickBot="1" x14ac:dyDescent="0.3">
      <c r="A82" s="50" t="s">
        <v>113</v>
      </c>
      <c r="B82" s="52">
        <f>B79+B73+B64+B62+B57+B55+B50+B41+B36+B34+B22+B17+B12+B7</f>
        <v>350172.69</v>
      </c>
    </row>
    <row r="83" spans="1:2" ht="15.75" thickTop="1" x14ac:dyDescent="0.2">
      <c r="A83" s="46"/>
      <c r="B83" s="47"/>
    </row>
    <row r="84" spans="1:2" ht="15" x14ac:dyDescent="0.2">
      <c r="A84" s="46"/>
      <c r="B84" s="47"/>
    </row>
    <row r="85" spans="1:2" ht="15" x14ac:dyDescent="0.2">
      <c r="A85" s="46"/>
      <c r="B85" s="47"/>
    </row>
    <row r="86" spans="1:2" ht="15" x14ac:dyDescent="0.2">
      <c r="A86" s="46"/>
      <c r="B86" s="47"/>
    </row>
    <row r="87" spans="1:2" ht="15" x14ac:dyDescent="0.2">
      <c r="A87" s="46"/>
      <c r="B87" s="47"/>
    </row>
    <row r="88" spans="1:2" ht="15" x14ac:dyDescent="0.2">
      <c r="A88" s="46"/>
      <c r="B88" s="47"/>
    </row>
    <row r="89" spans="1:2" ht="15" x14ac:dyDescent="0.2">
      <c r="A89" s="46"/>
      <c r="B89" s="47"/>
    </row>
    <row r="90" spans="1:2" ht="15" x14ac:dyDescent="0.2">
      <c r="A90" s="46"/>
      <c r="B90" s="47"/>
    </row>
    <row r="91" spans="1:2" ht="15" x14ac:dyDescent="0.2">
      <c r="A91" s="46"/>
      <c r="B91" s="47"/>
    </row>
    <row r="92" spans="1:2" ht="15" x14ac:dyDescent="0.2">
      <c r="A92" s="46"/>
      <c r="B92" s="47"/>
    </row>
    <row r="93" spans="1:2" ht="15" x14ac:dyDescent="0.2">
      <c r="A93" s="46"/>
      <c r="B93" s="47"/>
    </row>
    <row r="94" spans="1:2" ht="15" x14ac:dyDescent="0.2">
      <c r="A94" s="46"/>
      <c r="B94" s="47"/>
    </row>
    <row r="95" spans="1:2" ht="15" x14ac:dyDescent="0.2">
      <c r="A95" s="46"/>
      <c r="B95" s="47"/>
    </row>
    <row r="96" spans="1:2" ht="15" x14ac:dyDescent="0.2">
      <c r="A96" s="46"/>
      <c r="B96" s="47"/>
    </row>
    <row r="97" spans="1:2" ht="15" x14ac:dyDescent="0.2">
      <c r="A97" s="46"/>
      <c r="B97" s="47"/>
    </row>
    <row r="98" spans="1:2" ht="15" x14ac:dyDescent="0.2">
      <c r="A98" s="46"/>
      <c r="B98" s="47"/>
    </row>
    <row r="99" spans="1:2" ht="15" x14ac:dyDescent="0.2">
      <c r="A99" s="46"/>
      <c r="B99" s="47"/>
    </row>
    <row r="100" spans="1:2" ht="15" x14ac:dyDescent="0.2">
      <c r="A100" s="46"/>
      <c r="B100" s="47"/>
    </row>
    <row r="101" spans="1:2" ht="15" x14ac:dyDescent="0.2">
      <c r="A101" s="46"/>
      <c r="B101" s="47"/>
    </row>
    <row r="102" spans="1:2" ht="15" x14ac:dyDescent="0.2">
      <c r="A102" s="46"/>
      <c r="B102" s="47"/>
    </row>
    <row r="103" spans="1:2" ht="15" x14ac:dyDescent="0.2">
      <c r="A103" s="46"/>
      <c r="B103" s="47"/>
    </row>
    <row r="104" spans="1:2" ht="15" x14ac:dyDescent="0.2">
      <c r="A104" s="46"/>
      <c r="B104" s="47"/>
    </row>
    <row r="105" spans="1:2" ht="15" x14ac:dyDescent="0.2">
      <c r="A105" s="46"/>
      <c r="B105" s="47"/>
    </row>
    <row r="106" spans="1:2" ht="15" x14ac:dyDescent="0.2">
      <c r="A106" s="46"/>
      <c r="B106" s="47"/>
    </row>
    <row r="107" spans="1:2" ht="15" x14ac:dyDescent="0.2">
      <c r="A107" s="46"/>
      <c r="B107" s="47"/>
    </row>
    <row r="108" spans="1:2" ht="15" x14ac:dyDescent="0.2">
      <c r="A108" s="46"/>
      <c r="B108" s="47"/>
    </row>
    <row r="109" spans="1:2" ht="15" x14ac:dyDescent="0.2">
      <c r="A109" s="46"/>
      <c r="B109" s="47"/>
    </row>
    <row r="110" spans="1:2" ht="15" x14ac:dyDescent="0.2">
      <c r="A110" s="46"/>
      <c r="B110" s="47"/>
    </row>
    <row r="111" spans="1:2" ht="15" x14ac:dyDescent="0.2">
      <c r="A111" s="46"/>
      <c r="B111" s="47"/>
    </row>
    <row r="112" spans="1:2" ht="15" x14ac:dyDescent="0.2">
      <c r="A112" s="46"/>
      <c r="B112" s="47"/>
    </row>
    <row r="113" spans="1:2" ht="15" x14ac:dyDescent="0.2">
      <c r="A113" s="46"/>
      <c r="B113" s="47"/>
    </row>
    <row r="114" spans="1:2" ht="15" x14ac:dyDescent="0.2">
      <c r="A114" s="46"/>
      <c r="B114" s="47"/>
    </row>
    <row r="115" spans="1:2" ht="15" x14ac:dyDescent="0.2">
      <c r="A115" s="46"/>
      <c r="B115" s="47"/>
    </row>
    <row r="116" spans="1:2" ht="15" x14ac:dyDescent="0.2">
      <c r="A116" s="46"/>
      <c r="B116" s="47"/>
    </row>
    <row r="117" spans="1:2" ht="15" x14ac:dyDescent="0.2">
      <c r="A117" s="46"/>
      <c r="B117" s="47"/>
    </row>
    <row r="118" spans="1:2" ht="15" x14ac:dyDescent="0.2">
      <c r="A118" s="46"/>
      <c r="B118" s="47"/>
    </row>
    <row r="119" spans="1:2" ht="15" x14ac:dyDescent="0.2">
      <c r="A119" s="46"/>
      <c r="B119" s="47"/>
    </row>
    <row r="120" spans="1:2" ht="15" x14ac:dyDescent="0.2">
      <c r="A120" s="46"/>
      <c r="B120" s="47"/>
    </row>
    <row r="121" spans="1:2" ht="15" x14ac:dyDescent="0.2">
      <c r="A121" s="46"/>
      <c r="B121" s="47"/>
    </row>
    <row r="122" spans="1:2" ht="15" x14ac:dyDescent="0.2">
      <c r="A122" s="46"/>
      <c r="B122" s="47"/>
    </row>
    <row r="123" spans="1:2" ht="15" x14ac:dyDescent="0.2">
      <c r="A123" s="46"/>
      <c r="B123" s="47"/>
    </row>
    <row r="124" spans="1:2" ht="15" x14ac:dyDescent="0.2">
      <c r="A124" s="46"/>
      <c r="B124" s="47"/>
    </row>
    <row r="125" spans="1:2" ht="15" x14ac:dyDescent="0.2">
      <c r="A125" s="46"/>
      <c r="B125" s="47"/>
    </row>
    <row r="126" spans="1:2" ht="15" x14ac:dyDescent="0.2">
      <c r="A126" s="46"/>
      <c r="B126" s="47"/>
    </row>
    <row r="127" spans="1:2" ht="15" x14ac:dyDescent="0.2">
      <c r="A127" s="46"/>
      <c r="B127" s="47"/>
    </row>
    <row r="128" spans="1:2" ht="15" x14ac:dyDescent="0.2">
      <c r="A128" s="46"/>
      <c r="B128" s="47"/>
    </row>
    <row r="129" spans="1:2" ht="15" x14ac:dyDescent="0.2">
      <c r="A129" s="46"/>
      <c r="B129" s="47"/>
    </row>
    <row r="130" spans="1:2" ht="15" x14ac:dyDescent="0.2">
      <c r="A130" s="46"/>
      <c r="B130" s="47"/>
    </row>
    <row r="131" spans="1:2" ht="15" x14ac:dyDescent="0.2">
      <c r="A131" s="46"/>
      <c r="B131" s="47"/>
    </row>
    <row r="132" spans="1:2" ht="15" x14ac:dyDescent="0.2">
      <c r="A132" s="46"/>
      <c r="B132" s="47"/>
    </row>
    <row r="133" spans="1:2" ht="15" x14ac:dyDescent="0.2">
      <c r="A133" s="46"/>
      <c r="B133" s="47"/>
    </row>
    <row r="134" spans="1:2" ht="15" x14ac:dyDescent="0.2">
      <c r="A134" s="46"/>
      <c r="B134" s="47"/>
    </row>
    <row r="135" spans="1:2" ht="15" x14ac:dyDescent="0.2">
      <c r="A135" s="46"/>
      <c r="B135" s="47"/>
    </row>
    <row r="136" spans="1:2" ht="15" x14ac:dyDescent="0.2">
      <c r="A136" s="46"/>
      <c r="B136" s="47"/>
    </row>
    <row r="137" spans="1:2" ht="15" x14ac:dyDescent="0.2">
      <c r="A137" s="46"/>
      <c r="B137" s="47"/>
    </row>
    <row r="138" spans="1:2" ht="15" x14ac:dyDescent="0.2">
      <c r="A138" s="46"/>
      <c r="B138" s="47"/>
    </row>
    <row r="139" spans="1:2" ht="15" x14ac:dyDescent="0.2">
      <c r="A139" s="46"/>
      <c r="B139" s="47"/>
    </row>
    <row r="140" spans="1:2" ht="15" x14ac:dyDescent="0.2">
      <c r="A140" s="46"/>
      <c r="B140" s="47"/>
    </row>
    <row r="141" spans="1:2" ht="15" x14ac:dyDescent="0.2">
      <c r="A141" s="46"/>
      <c r="B141" s="47"/>
    </row>
    <row r="142" spans="1:2" ht="15" x14ac:dyDescent="0.2">
      <c r="A142" s="46"/>
      <c r="B142" s="47"/>
    </row>
    <row r="143" spans="1:2" ht="15" x14ac:dyDescent="0.2">
      <c r="A143" s="46"/>
      <c r="B143" s="47"/>
    </row>
    <row r="144" spans="1:2" ht="15" x14ac:dyDescent="0.2">
      <c r="A144" s="46"/>
      <c r="B144" s="47"/>
    </row>
    <row r="145" spans="1:2" ht="15" x14ac:dyDescent="0.2">
      <c r="A145" s="46"/>
      <c r="B145" s="47"/>
    </row>
    <row r="146" spans="1:2" ht="15" x14ac:dyDescent="0.2">
      <c r="A146" s="46"/>
      <c r="B146" s="47"/>
    </row>
    <row r="147" spans="1:2" ht="15" x14ac:dyDescent="0.2">
      <c r="A147" s="46"/>
      <c r="B147" s="47"/>
    </row>
  </sheetData>
  <pageMargins left="0.75" right="0.75" top="1" bottom="1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E118"/>
  <sheetViews>
    <sheetView workbookViewId="0">
      <selection activeCell="A8" sqref="A8"/>
    </sheetView>
  </sheetViews>
  <sheetFormatPr defaultColWidth="8.85546875" defaultRowHeight="12.75" x14ac:dyDescent="0.2"/>
  <cols>
    <col min="1" max="1" width="56.140625" bestFit="1" customWidth="1"/>
    <col min="2" max="2" width="12.7109375" customWidth="1"/>
    <col min="4" max="5" width="10" bestFit="1" customWidth="1"/>
  </cols>
  <sheetData>
    <row r="1" spans="1:5" ht="18" x14ac:dyDescent="0.25">
      <c r="A1" s="33" t="str">
        <f>'Other services'!A1</f>
        <v>Tangi Academy</v>
      </c>
      <c r="B1" s="34"/>
    </row>
    <row r="2" spans="1:5" ht="18" x14ac:dyDescent="0.25">
      <c r="A2" s="33" t="s">
        <v>74</v>
      </c>
      <c r="B2" s="62"/>
    </row>
    <row r="3" spans="1:5" ht="18" x14ac:dyDescent="0.25">
      <c r="A3" s="33"/>
      <c r="B3" s="34"/>
    </row>
    <row r="4" spans="1:5" ht="15" x14ac:dyDescent="0.2">
      <c r="A4" s="35"/>
      <c r="B4" s="36"/>
    </row>
    <row r="5" spans="1:5" ht="15.75" x14ac:dyDescent="0.25">
      <c r="A5" s="37" t="s">
        <v>82</v>
      </c>
      <c r="B5" s="38"/>
    </row>
    <row r="6" spans="1:5" ht="15" x14ac:dyDescent="0.2">
      <c r="A6" s="39"/>
      <c r="B6" s="40"/>
    </row>
    <row r="7" spans="1:5" ht="15" x14ac:dyDescent="0.2">
      <c r="A7" s="39" t="s">
        <v>74</v>
      </c>
      <c r="B7" s="40">
        <f>24000-B27-B41</f>
        <v>14900</v>
      </c>
      <c r="C7" s="141"/>
      <c r="D7" s="227"/>
      <c r="E7" s="228"/>
    </row>
    <row r="8" spans="1:5" ht="15" x14ac:dyDescent="0.2">
      <c r="A8" s="39"/>
      <c r="B8" s="40"/>
      <c r="C8" s="141"/>
      <c r="D8" s="227"/>
      <c r="E8" s="228"/>
    </row>
    <row r="9" spans="1:5" ht="15" x14ac:dyDescent="0.2">
      <c r="A9" s="39"/>
      <c r="B9" s="40"/>
    </row>
    <row r="10" spans="1:5" ht="15" x14ac:dyDescent="0.2">
      <c r="A10" s="53" t="s">
        <v>74</v>
      </c>
      <c r="B10" s="64">
        <f>SUM(B6:B9)</f>
        <v>14900</v>
      </c>
      <c r="E10" t="s">
        <v>389</v>
      </c>
    </row>
    <row r="11" spans="1:5" ht="15" x14ac:dyDescent="0.2">
      <c r="A11" s="53"/>
      <c r="B11" s="40"/>
    </row>
    <row r="12" spans="1:5" ht="15" x14ac:dyDescent="0.2">
      <c r="A12" s="39"/>
      <c r="B12" s="40"/>
    </row>
    <row r="13" spans="1:5" ht="15" x14ac:dyDescent="0.2">
      <c r="A13" s="39"/>
      <c r="B13" s="40"/>
      <c r="E13" s="120"/>
    </row>
    <row r="14" spans="1:5" ht="15" x14ac:dyDescent="0.2">
      <c r="A14" s="39" t="s">
        <v>319</v>
      </c>
      <c r="B14" s="40">
        <v>25817</v>
      </c>
      <c r="C14" s="214"/>
      <c r="E14" s="214" t="s">
        <v>388</v>
      </c>
    </row>
    <row r="15" spans="1:5" ht="15" x14ac:dyDescent="0.2">
      <c r="A15" s="39" t="s">
        <v>320</v>
      </c>
      <c r="B15" s="40">
        <v>7581</v>
      </c>
      <c r="C15" s="214"/>
      <c r="E15" s="214" t="s">
        <v>388</v>
      </c>
    </row>
    <row r="16" spans="1:5" ht="15" x14ac:dyDescent="0.2">
      <c r="A16" s="39" t="s">
        <v>321</v>
      </c>
      <c r="B16" s="40">
        <v>5000</v>
      </c>
      <c r="C16" s="214"/>
      <c r="E16" s="214" t="s">
        <v>388</v>
      </c>
    </row>
    <row r="17" spans="1:5" ht="15" x14ac:dyDescent="0.2">
      <c r="A17" s="39"/>
      <c r="B17" s="40"/>
      <c r="C17" s="214"/>
      <c r="E17" s="214"/>
    </row>
    <row r="18" spans="1:5" ht="15" x14ac:dyDescent="0.2">
      <c r="A18" s="39" t="s">
        <v>332</v>
      </c>
      <c r="B18" s="40">
        <v>19240</v>
      </c>
      <c r="C18" s="214"/>
      <c r="E18" s="214" t="s">
        <v>388</v>
      </c>
    </row>
    <row r="19" spans="1:5" ht="15" x14ac:dyDescent="0.2">
      <c r="A19" s="39"/>
      <c r="B19" s="40"/>
    </row>
    <row r="20" spans="1:5" ht="15" x14ac:dyDescent="0.2">
      <c r="A20" s="53" t="s">
        <v>3</v>
      </c>
      <c r="B20" s="64">
        <f>SUM(B12:B19)</f>
        <v>57638</v>
      </c>
    </row>
    <row r="21" spans="1:5" ht="15" x14ac:dyDescent="0.2">
      <c r="A21" s="53"/>
      <c r="B21" s="40"/>
    </row>
    <row r="22" spans="1:5" ht="15" x14ac:dyDescent="0.2">
      <c r="A22" s="39"/>
      <c r="B22" s="40"/>
    </row>
    <row r="23" spans="1:5" ht="15.75" x14ac:dyDescent="0.25">
      <c r="A23" s="42" t="s">
        <v>83</v>
      </c>
      <c r="B23" s="40"/>
    </row>
    <row r="24" spans="1:5" ht="15" x14ac:dyDescent="0.2">
      <c r="A24" s="39"/>
      <c r="B24" s="40"/>
    </row>
    <row r="25" spans="1:5" ht="15" x14ac:dyDescent="0.2">
      <c r="A25" s="39" t="s">
        <v>74</v>
      </c>
      <c r="B25" s="40">
        <v>5000</v>
      </c>
    </row>
    <row r="26" spans="1:5" ht="15" x14ac:dyDescent="0.2">
      <c r="A26" s="39"/>
      <c r="B26" s="40"/>
    </row>
    <row r="27" spans="1:5" ht="15" x14ac:dyDescent="0.2">
      <c r="A27" s="53" t="s">
        <v>74</v>
      </c>
      <c r="B27" s="64">
        <f>SUM(B24:B26)</f>
        <v>5000</v>
      </c>
      <c r="E27" t="s">
        <v>390</v>
      </c>
    </row>
    <row r="28" spans="1:5" ht="15" x14ac:dyDescent="0.2">
      <c r="A28" s="53"/>
      <c r="B28" s="40"/>
    </row>
    <row r="29" spans="1:5" ht="15" x14ac:dyDescent="0.2">
      <c r="A29" s="39"/>
      <c r="B29" s="40"/>
    </row>
    <row r="30" spans="1:5" ht="15" x14ac:dyDescent="0.2">
      <c r="A30" s="39" t="s">
        <v>3</v>
      </c>
      <c r="B30" s="40"/>
    </row>
    <row r="31" spans="1:5" ht="15" x14ac:dyDescent="0.2">
      <c r="A31" s="39"/>
      <c r="B31" s="40"/>
    </row>
    <row r="32" spans="1:5" ht="15" x14ac:dyDescent="0.2">
      <c r="A32" s="53" t="s">
        <v>3</v>
      </c>
      <c r="B32" s="64">
        <f>SUM(B29:B31)</f>
        <v>0</v>
      </c>
    </row>
    <row r="33" spans="1:5" ht="15" x14ac:dyDescent="0.2">
      <c r="A33" s="53"/>
      <c r="B33" s="40"/>
    </row>
    <row r="34" spans="1:5" ht="15" x14ac:dyDescent="0.2">
      <c r="A34" s="53"/>
      <c r="B34" s="40"/>
    </row>
    <row r="35" spans="1:5" ht="15" x14ac:dyDescent="0.2">
      <c r="A35" s="39"/>
      <c r="B35" s="40"/>
    </row>
    <row r="36" spans="1:5" ht="15.75" x14ac:dyDescent="0.25">
      <c r="A36" s="42" t="s">
        <v>84</v>
      </c>
      <c r="B36" s="40"/>
    </row>
    <row r="37" spans="1:5" ht="15.75" x14ac:dyDescent="0.25">
      <c r="A37" s="42"/>
      <c r="B37" s="40"/>
    </row>
    <row r="38" spans="1:5" ht="15" x14ac:dyDescent="0.2">
      <c r="A38" s="39" t="s">
        <v>304</v>
      </c>
      <c r="B38" s="40">
        <v>2500</v>
      </c>
    </row>
    <row r="39" spans="1:5" ht="15" x14ac:dyDescent="0.2">
      <c r="A39" s="39" t="s">
        <v>333</v>
      </c>
      <c r="B39" s="40">
        <v>1600</v>
      </c>
    </row>
    <row r="40" spans="1:5" ht="15" x14ac:dyDescent="0.2">
      <c r="A40" s="39"/>
      <c r="B40" s="40"/>
    </row>
    <row r="41" spans="1:5" ht="15" x14ac:dyDescent="0.2">
      <c r="A41" s="53" t="s">
        <v>74</v>
      </c>
      <c r="B41" s="64">
        <f>SUM(B38:B40)</f>
        <v>4100</v>
      </c>
      <c r="E41" t="s">
        <v>391</v>
      </c>
    </row>
    <row r="42" spans="1:5" ht="15" x14ac:dyDescent="0.2">
      <c r="A42" s="39"/>
      <c r="B42" s="40"/>
    </row>
    <row r="43" spans="1:5" ht="15" x14ac:dyDescent="0.2">
      <c r="A43" s="39"/>
      <c r="B43" s="40"/>
    </row>
    <row r="44" spans="1:5" ht="15" x14ac:dyDescent="0.2">
      <c r="A44" s="39" t="s">
        <v>3</v>
      </c>
      <c r="B44" s="40"/>
    </row>
    <row r="45" spans="1:5" ht="15" x14ac:dyDescent="0.2">
      <c r="A45" s="39"/>
      <c r="B45" s="40"/>
    </row>
    <row r="46" spans="1:5" ht="15" x14ac:dyDescent="0.2">
      <c r="A46" s="53" t="s">
        <v>3</v>
      </c>
      <c r="B46" s="64">
        <f>SUM(B43:B45)</f>
        <v>0</v>
      </c>
    </row>
    <row r="47" spans="1:5" ht="15" x14ac:dyDescent="0.2">
      <c r="A47" s="39"/>
      <c r="B47" s="40"/>
    </row>
    <row r="48" spans="1:5" ht="15" x14ac:dyDescent="0.2">
      <c r="A48" s="39"/>
      <c r="B48" s="40"/>
    </row>
    <row r="49" spans="1:5" ht="15.75" x14ac:dyDescent="0.25">
      <c r="A49" s="48" t="s">
        <v>88</v>
      </c>
      <c r="B49" s="45"/>
    </row>
    <row r="50" spans="1:5" ht="15" x14ac:dyDescent="0.2">
      <c r="A50" s="39"/>
      <c r="B50" s="40"/>
    </row>
    <row r="51" spans="1:5" ht="15" x14ac:dyDescent="0.2">
      <c r="A51" s="39" t="s">
        <v>74</v>
      </c>
      <c r="B51" s="40">
        <f>7000-2500</f>
        <v>4500</v>
      </c>
    </row>
    <row r="52" spans="1:5" ht="15" x14ac:dyDescent="0.2">
      <c r="A52" s="39"/>
      <c r="B52" s="40"/>
    </row>
    <row r="53" spans="1:5" ht="15" x14ac:dyDescent="0.2">
      <c r="A53" s="53" t="s">
        <v>74</v>
      </c>
      <c r="B53" s="64">
        <f>SUM(B50:B52)</f>
        <v>4500</v>
      </c>
      <c r="E53" t="s">
        <v>392</v>
      </c>
    </row>
    <row r="54" spans="1:5" ht="15.75" x14ac:dyDescent="0.25">
      <c r="A54" s="48"/>
      <c r="B54" s="45"/>
    </row>
    <row r="55" spans="1:5" ht="15" x14ac:dyDescent="0.2">
      <c r="A55" s="49"/>
      <c r="B55" s="45"/>
    </row>
    <row r="56" spans="1:5" ht="15.75" x14ac:dyDescent="0.25">
      <c r="A56" s="58" t="s">
        <v>89</v>
      </c>
      <c r="B56" s="45"/>
    </row>
    <row r="57" spans="1:5" ht="15" x14ac:dyDescent="0.2">
      <c r="A57" s="39"/>
      <c r="B57" s="40"/>
    </row>
    <row r="58" spans="1:5" ht="15" x14ac:dyDescent="0.2">
      <c r="A58" s="39" t="s">
        <v>74</v>
      </c>
      <c r="B58" s="40">
        <v>0</v>
      </c>
    </row>
    <row r="59" spans="1:5" ht="15" x14ac:dyDescent="0.2">
      <c r="A59" s="39"/>
      <c r="B59" s="40"/>
    </row>
    <row r="60" spans="1:5" ht="15" x14ac:dyDescent="0.2">
      <c r="A60" s="53" t="s">
        <v>74</v>
      </c>
      <c r="B60" s="64">
        <f>SUM(B57:B59)</f>
        <v>0</v>
      </c>
    </row>
    <row r="61" spans="1:5" ht="15.75" x14ac:dyDescent="0.25">
      <c r="A61" s="48"/>
      <c r="B61" s="45"/>
    </row>
    <row r="62" spans="1:5" ht="15" x14ac:dyDescent="0.2">
      <c r="A62" s="49"/>
      <c r="B62" s="45"/>
    </row>
    <row r="63" spans="1:5" ht="15.75" x14ac:dyDescent="0.25">
      <c r="A63" s="48" t="s">
        <v>93</v>
      </c>
      <c r="B63" s="45"/>
    </row>
    <row r="64" spans="1:5" ht="15" x14ac:dyDescent="0.2">
      <c r="A64" s="39"/>
      <c r="B64" s="45"/>
    </row>
    <row r="65" spans="1:5" ht="15" x14ac:dyDescent="0.2">
      <c r="A65" s="39" t="s">
        <v>74</v>
      </c>
      <c r="B65" s="45">
        <f>9760+3000</f>
        <v>12760</v>
      </c>
    </row>
    <row r="66" spans="1:5" ht="15" x14ac:dyDescent="0.2">
      <c r="A66" s="39"/>
      <c r="B66" s="45"/>
    </row>
    <row r="67" spans="1:5" ht="15" x14ac:dyDescent="0.2">
      <c r="A67" s="53" t="s">
        <v>74</v>
      </c>
      <c r="B67" s="64">
        <f>SUM(B64:B66)</f>
        <v>12760</v>
      </c>
      <c r="E67" t="s">
        <v>393</v>
      </c>
    </row>
    <row r="68" spans="1:5" ht="15" x14ac:dyDescent="0.2">
      <c r="A68" s="54"/>
      <c r="B68" s="40"/>
    </row>
    <row r="69" spans="1:5" ht="15" x14ac:dyDescent="0.2">
      <c r="A69" s="55"/>
      <c r="B69" s="40"/>
    </row>
    <row r="70" spans="1:5" ht="15" x14ac:dyDescent="0.2">
      <c r="A70" s="55"/>
      <c r="B70" s="40"/>
    </row>
    <row r="71" spans="1:5" ht="15" x14ac:dyDescent="0.2">
      <c r="A71" s="39" t="s">
        <v>107</v>
      </c>
      <c r="B71" s="40">
        <f>(3000*6)+(5000*6)</f>
        <v>48000</v>
      </c>
      <c r="E71" t="s">
        <v>394</v>
      </c>
    </row>
    <row r="72" spans="1:5" ht="15" x14ac:dyDescent="0.2">
      <c r="A72" s="39" t="s">
        <v>108</v>
      </c>
      <c r="B72" s="40"/>
    </row>
    <row r="73" spans="1:5" ht="15" x14ac:dyDescent="0.2">
      <c r="A73" s="39"/>
      <c r="B73" s="40"/>
    </row>
    <row r="74" spans="1:5" ht="15" x14ac:dyDescent="0.2">
      <c r="A74" s="53" t="s">
        <v>105</v>
      </c>
      <c r="B74" s="64">
        <f>SUM(B71:B73)</f>
        <v>48000</v>
      </c>
    </row>
    <row r="75" spans="1:5" ht="15" x14ac:dyDescent="0.2">
      <c r="A75" s="54"/>
      <c r="B75" s="40"/>
    </row>
    <row r="76" spans="1:5" ht="15" x14ac:dyDescent="0.2">
      <c r="A76" s="49"/>
      <c r="B76" s="45"/>
    </row>
    <row r="77" spans="1:5" ht="15" x14ac:dyDescent="0.2">
      <c r="A77" s="49"/>
      <c r="B77" s="45"/>
    </row>
    <row r="78" spans="1:5" ht="15.75" x14ac:dyDescent="0.25">
      <c r="A78" s="48" t="s">
        <v>96</v>
      </c>
      <c r="B78" s="45"/>
    </row>
    <row r="79" spans="1:5" ht="15" x14ac:dyDescent="0.2">
      <c r="A79" s="49"/>
      <c r="B79" s="45"/>
    </row>
    <row r="80" spans="1:5" ht="15" x14ac:dyDescent="0.2">
      <c r="A80" s="39" t="s">
        <v>74</v>
      </c>
      <c r="B80" s="41">
        <v>0</v>
      </c>
    </row>
    <row r="81" spans="1:2" ht="15" x14ac:dyDescent="0.2">
      <c r="A81" s="49"/>
      <c r="B81" s="45"/>
    </row>
    <row r="82" spans="1:2" ht="15" x14ac:dyDescent="0.2">
      <c r="A82" s="49"/>
      <c r="B82" s="45"/>
    </row>
    <row r="83" spans="1:2" ht="16.5" thickBot="1" x14ac:dyDescent="0.3">
      <c r="A83" s="58" t="s">
        <v>106</v>
      </c>
      <c r="B83" s="59">
        <f>B80+B74+B67+B60+B53+B46+B41+B32+B27+B20+B10</f>
        <v>146898</v>
      </c>
    </row>
    <row r="84" spans="1:2" ht="15.75" thickTop="1" x14ac:dyDescent="0.2">
      <c r="A84" s="46"/>
      <c r="B84" s="47"/>
    </row>
    <row r="85" spans="1:2" ht="15" x14ac:dyDescent="0.2">
      <c r="A85" s="46"/>
      <c r="B85" s="47"/>
    </row>
    <row r="86" spans="1:2" ht="15" x14ac:dyDescent="0.2">
      <c r="A86" s="46"/>
      <c r="B86" s="47"/>
    </row>
    <row r="87" spans="1:2" ht="15" x14ac:dyDescent="0.2">
      <c r="A87" s="46"/>
      <c r="B87" s="47"/>
    </row>
    <row r="88" spans="1:2" ht="15" x14ac:dyDescent="0.2">
      <c r="A88" s="46"/>
      <c r="B88" s="47"/>
    </row>
    <row r="89" spans="1:2" ht="15" x14ac:dyDescent="0.2">
      <c r="A89" s="46"/>
      <c r="B89" s="47"/>
    </row>
    <row r="90" spans="1:2" ht="15" x14ac:dyDescent="0.2">
      <c r="A90" s="46"/>
      <c r="B90" s="47"/>
    </row>
    <row r="91" spans="1:2" ht="15" x14ac:dyDescent="0.2">
      <c r="A91" s="46"/>
      <c r="B91" s="47"/>
    </row>
    <row r="92" spans="1:2" ht="15" x14ac:dyDescent="0.2">
      <c r="A92" s="46"/>
      <c r="B92" s="47"/>
    </row>
    <row r="93" spans="1:2" ht="15" x14ac:dyDescent="0.2">
      <c r="A93" s="46"/>
      <c r="B93" s="47"/>
    </row>
    <row r="94" spans="1:2" ht="15" x14ac:dyDescent="0.2">
      <c r="A94" s="46"/>
      <c r="B94" s="47"/>
    </row>
    <row r="95" spans="1:2" ht="15" x14ac:dyDescent="0.2">
      <c r="A95" s="46"/>
      <c r="B95" s="47"/>
    </row>
    <row r="96" spans="1:2" ht="15" x14ac:dyDescent="0.2">
      <c r="A96" s="46"/>
      <c r="B96" s="47"/>
    </row>
    <row r="97" spans="1:2" ht="15" x14ac:dyDescent="0.2">
      <c r="A97" s="46"/>
      <c r="B97" s="47"/>
    </row>
    <row r="98" spans="1:2" ht="15" x14ac:dyDescent="0.2">
      <c r="A98" s="46"/>
      <c r="B98" s="47"/>
    </row>
    <row r="99" spans="1:2" ht="15" x14ac:dyDescent="0.2">
      <c r="A99" s="46"/>
      <c r="B99" s="47"/>
    </row>
    <row r="100" spans="1:2" ht="15" x14ac:dyDescent="0.2">
      <c r="A100" s="46"/>
      <c r="B100" s="47"/>
    </row>
    <row r="101" spans="1:2" ht="15" x14ac:dyDescent="0.2">
      <c r="A101" s="46"/>
      <c r="B101" s="47"/>
    </row>
    <row r="102" spans="1:2" ht="15" x14ac:dyDescent="0.2">
      <c r="A102" s="46"/>
      <c r="B102" s="47"/>
    </row>
    <row r="103" spans="1:2" ht="15" x14ac:dyDescent="0.2">
      <c r="A103" s="46"/>
      <c r="B103" s="47"/>
    </row>
    <row r="104" spans="1:2" ht="15" x14ac:dyDescent="0.2">
      <c r="A104" s="46"/>
      <c r="B104" s="47"/>
    </row>
    <row r="105" spans="1:2" ht="15" x14ac:dyDescent="0.2">
      <c r="A105" s="46"/>
      <c r="B105" s="47"/>
    </row>
    <row r="106" spans="1:2" ht="15" x14ac:dyDescent="0.2">
      <c r="A106" s="46"/>
      <c r="B106" s="47"/>
    </row>
    <row r="107" spans="1:2" ht="15" x14ac:dyDescent="0.2">
      <c r="A107" s="46"/>
      <c r="B107" s="47"/>
    </row>
    <row r="108" spans="1:2" ht="15" x14ac:dyDescent="0.2">
      <c r="A108" s="46"/>
      <c r="B108" s="47"/>
    </row>
    <row r="109" spans="1:2" ht="15" x14ac:dyDescent="0.2">
      <c r="A109" s="46"/>
      <c r="B109" s="47"/>
    </row>
    <row r="110" spans="1:2" ht="15" x14ac:dyDescent="0.2">
      <c r="A110" s="46"/>
      <c r="B110" s="47"/>
    </row>
    <row r="111" spans="1:2" ht="15" x14ac:dyDescent="0.2">
      <c r="A111" s="46"/>
      <c r="B111" s="47"/>
    </row>
    <row r="112" spans="1:2" ht="15" x14ac:dyDescent="0.2">
      <c r="A112" s="46"/>
      <c r="B112" s="47"/>
    </row>
    <row r="113" spans="1:2" ht="15" x14ac:dyDescent="0.2">
      <c r="A113" s="46"/>
      <c r="B113" s="47"/>
    </row>
    <row r="114" spans="1:2" ht="15" x14ac:dyDescent="0.2">
      <c r="A114" s="46"/>
      <c r="B114" s="47"/>
    </row>
    <row r="115" spans="1:2" ht="15" x14ac:dyDescent="0.2">
      <c r="A115" s="46"/>
      <c r="B115" s="47"/>
    </row>
    <row r="116" spans="1:2" ht="15" x14ac:dyDescent="0.2">
      <c r="A116" s="46"/>
      <c r="B116" s="47"/>
    </row>
    <row r="117" spans="1:2" ht="15" x14ac:dyDescent="0.2">
      <c r="A117" s="46"/>
      <c r="B117" s="47"/>
    </row>
    <row r="118" spans="1:2" ht="15" x14ac:dyDescent="0.2">
      <c r="A118" s="46"/>
      <c r="B118" s="47"/>
    </row>
  </sheetData>
  <pageMargins left="0.75" right="0.75" top="1" bottom="1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3670D2DB1FA243B422E4D9C255B979" ma:contentTypeVersion="1" ma:contentTypeDescription="Create a new document." ma:contentTypeScope="" ma:versionID="a4fe5cf910b9fa09635106a07f2b453f">
  <xsd:schema xmlns:xsd="http://www.w3.org/2001/XMLSchema" xmlns:xs="http://www.w3.org/2001/XMLSchema" xmlns:p="http://schemas.microsoft.com/office/2006/metadata/properties" xmlns:ns3="e10de988-baa2-4a0e-a160-df9839611cb4" targetNamespace="http://schemas.microsoft.com/office/2006/metadata/properties" ma:root="true" ma:fieldsID="69b8d0d2563c38c8953f495bd99f2ea0" ns3:_="">
    <xsd:import namespace="e10de988-baa2-4a0e-a160-df9839611cb4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0de988-baa2-4a0e-a160-df9839611c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2CA690F-F64A-408C-8ACE-805AA8A19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0de988-baa2-4a0e-a160-df9839611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B00E7F-7EBC-4EAA-91EA-41F0E87207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8A35C8-128F-4775-86EC-B51BBDD14D2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10de988-baa2-4a0e-a160-df9839611cb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823B282-6E1B-4326-A199-C553C232F50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Budget Summary</vt:lpstr>
      <vt:lpstr>Staffing Summary</vt:lpstr>
      <vt:lpstr>Assumption Data</vt:lpstr>
      <vt:lpstr>Staffing</vt:lpstr>
      <vt:lpstr>Food Service</vt:lpstr>
      <vt:lpstr>Professional services</vt:lpstr>
      <vt:lpstr>Property services</vt:lpstr>
      <vt:lpstr>Other services</vt:lpstr>
      <vt:lpstr>Supplies Textbooks</vt:lpstr>
      <vt:lpstr>Equipment</vt:lpstr>
      <vt:lpstr>Misc Exp</vt:lpstr>
      <vt:lpstr>Deferred Schedule 2016_2017</vt:lpstr>
      <vt:lpstr>'Deferred Schedule 2016_2017'!Print_Area</vt:lpstr>
      <vt:lpstr>'Deferred Schedule 2016_2017'!Print_Titles</vt:lpstr>
      <vt:lpstr>Staffing!Print_Titles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pmatherne</dc:creator>
  <cp:lastModifiedBy>George Williams</cp:lastModifiedBy>
  <cp:lastPrinted>2016-12-22T15:53:45Z</cp:lastPrinted>
  <dcterms:created xsi:type="dcterms:W3CDTF">2004-02-11T17:37:54Z</dcterms:created>
  <dcterms:modified xsi:type="dcterms:W3CDTF">2018-01-24T23:43:15Z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0x010100A73670D2DB1FA243B422E4D9C255B979</vt:lpwstr>
  </property>
</Properties>
</file>